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  <sheet name="грудень" sheetId="4" r:id="rId4"/>
    <sheet name="лютий (частково бюджет розв)" sheetId="5" r:id="rId5"/>
    <sheet name="лютий (весь бюдж розв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<sst xmlns="http://schemas.openxmlformats.org/spreadsheetml/2006/main" count="853" uniqueCount="180">
  <si>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</si>
  <si>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</si>
  <si>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</si>
  <si>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</si>
  <si>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</si>
  <si>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</si>
  <si>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</si>
  <si>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</si>
  <si>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</si>
  <si>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</si>
  <si>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</si>
  <si>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</si>
  <si>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</si>
  <si>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</si>
  <si>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</si>
  <si>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</si>
  <si>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</si>
  <si>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</si>
  <si>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</si>
  <si>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</si>
  <si>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</si>
  <si>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</si>
  <si>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</si>
  <si>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</si>
  <si>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</si>
  <si>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</si>
  <si>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</si>
  <si>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</si>
  <si>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</si>
  <si>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</si>
  <si>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</si>
  <si>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</si>
  <si>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</si>
  <si>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</si>
  <si>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</si>
  <si>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</si>
  <si>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</si>
  <si>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</si>
  <si>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</si>
  <si>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</si>
  <si>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</si>
  <si>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</si>
  <si>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</si>
  <si>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</si>
  <si>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</si>
  <si>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</si>
  <si>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</si>
  <si>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</si>
  <si>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</si>
  <si>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</si>
  <si>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</si>
  <si>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</si>
  <si>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</si>
  <si>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</si>
  <si>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</si>
  <si>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</si>
  <si>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</si>
  <si>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</si>
  <si>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</si>
  <si>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</si>
  <si>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</si>
  <si>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</si>
  <si>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</si>
  <si>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</si>
  <si>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</si>
  <si>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</si>
  <si>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</si>
  <si>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</si>
  <si>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</si>
  <si>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</si>
  <si>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</si>
  <si>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</si>
  <si>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</si>
  <si>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</si>
  <si>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</si>
  <si>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</si>
  <si>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</si>
  <si>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</si>
  <si>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</si>
  <si>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</si>
  <si>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</si>
  <si>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</si>
  <si>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</si>
  <si>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</si>
  <si>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</si>
  <si>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</si>
  <si>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</si>
  <si>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</si>
  <si>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</si>
  <si>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</si>
  <si>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</si>
  <si>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</si>
  <si>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</si>
  <si>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</si>
  <si>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</si>
  <si>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</si>
  <si>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</si>
  <si>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</si>
  <si>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</si>
  <si>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</si>
  <si>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</si>
  <si>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</si>
  <si>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</si>
  <si>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</si>
  <si>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</si>
  <si>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</si>
  <si>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</si>
  <si>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</si>
  <si>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</si>
  <si>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</si>
  <si>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</si>
  <si>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</si>
  <si>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</si>
  <si>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</si>
  <si>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</si>
  <si>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</si>
  <si>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</si>
  <si>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</si>
  <si>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</si>
  <si>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</si>
  <si>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</si>
  <si>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</si>
  <si>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</si>
  <si>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</si>
  <si>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</si>
  <si>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</si>
  <si>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</si>
  <si>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</si>
  <si>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</si>
  <si>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</si>
  <si>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</si>
  <si>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</si>
  <si>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</si>
  <si>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</si>
  <si>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</si>
  <si>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</si>
  <si>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</si>
  <si>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</si>
  <si>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</si>
  <si>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</si>
  <si>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</si>
  <si>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</si>
  <si>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</si>
  <si>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</si>
  <si>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</si>
  <si>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</si>
  <si>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</si>
  <si>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</si>
  <si>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</si>
  <si>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</si>
  <si>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</si>
  <si>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</si>
  <si>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</si>
  <si>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</si>
  <si>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</si>
  <si>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</si>
  <si>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</si>
  <si>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</si>
  <si>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</si>
  <si>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</si>
  <si>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</si>
  <si>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</si>
  <si>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</si>
  <si>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</si>
  <si>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</si>
  <si>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</si>
  <si>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</si>
  <si>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виплату </t>
    </r>
    <r>
      <rPr>
        <b/>
        <sz val="10"/>
        <rFont val="Arial Cyr"/>
        <family val="0"/>
      </rPr>
      <t>допомоги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</si>
  <si>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</si>
  <si>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 та рідкого пічного побутового палива </t>
    </r>
    <r>
      <rPr>
        <sz val="10"/>
        <rFont val="Arial Cyr"/>
        <family val="0"/>
      </rPr>
      <t>і скрапленого газу 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</si>
  <si>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</si>
  <si>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</si>
  <si>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Субвенція з державного бюджету місцевим бюджетам на виплату державної соціальної допомоги </t>
    </r>
    <r>
      <rPr>
        <b/>
        <sz val="10"/>
        <rFont val="Arial Cyr"/>
        <family val="0"/>
      </rPr>
      <t>на 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</si>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</sst>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6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5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8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4" applyFont="1" applyProtection="1">
      <alignment/>
      <protection/>
    </xf>
    <xf numFmtId="192" fontId="79" fillId="39" borderId="10" xfId="0" applyNumberFormat="1" applyFont="1" applyFill="1" applyBorder="1" applyAlignment="1">
      <alignment/>
    </xf>
    <xf numFmtId="191" fontId="3" fillId="0" borderId="0" xfId="54" applyNumberFormat="1" applyFont="1" applyProtection="1">
      <alignment/>
      <protection/>
    </xf>
    <xf numFmtId="182" fontId="79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4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182" fontId="3" fillId="36" borderId="0" xfId="54" applyNumberFormat="1" applyFont="1" applyFill="1" applyAlignment="1" applyProtection="1">
      <alignment horizontal="center"/>
      <protection/>
    </xf>
    <xf numFmtId="182" fontId="3" fillId="36" borderId="10" xfId="0" applyNumberFormat="1" applyFont="1" applyFill="1" applyBorder="1" applyAlignment="1" applyProtection="1">
      <alignment horizontal="right"/>
      <protection/>
    </xf>
    <xf numFmtId="182" fontId="7" fillId="36" borderId="10" xfId="0" applyNumberFormat="1" applyFont="1" applyFill="1" applyBorder="1" applyAlignment="1" applyProtection="1">
      <alignment horizontal="right"/>
      <protection/>
    </xf>
    <xf numFmtId="182" fontId="6" fillId="36" borderId="10" xfId="0" applyNumberFormat="1" applyFont="1" applyFill="1" applyBorder="1" applyAlignment="1" applyProtection="1">
      <alignment horizontal="right"/>
      <protection/>
    </xf>
    <xf numFmtId="182" fontId="22" fillId="36" borderId="10" xfId="0" applyNumberFormat="1" applyFont="1" applyFill="1" applyBorder="1" applyAlignment="1" applyProtection="1">
      <alignment horizontal="right"/>
      <protection/>
    </xf>
    <xf numFmtId="182" fontId="7" fillId="36" borderId="0" xfId="54" applyNumberFormat="1" applyFont="1" applyFill="1" applyProtection="1">
      <alignment/>
      <protection/>
    </xf>
    <xf numFmtId="182" fontId="7" fillId="36" borderId="0" xfId="54" applyNumberFormat="1" applyFont="1" applyFill="1" applyBorder="1" applyProtection="1">
      <alignment/>
      <protection/>
    </xf>
    <xf numFmtId="182" fontId="7" fillId="36" borderId="0" xfId="54" applyNumberFormat="1" applyFont="1" applyFill="1" applyBorder="1" applyAlignment="1" applyProtection="1">
      <alignment horizontal="center"/>
      <protection/>
    </xf>
    <xf numFmtId="182" fontId="39" fillId="36" borderId="10" xfId="0" applyNumberFormat="1" applyFont="1" applyFill="1" applyBorder="1" applyAlignment="1">
      <alignment/>
    </xf>
    <xf numFmtId="182" fontId="79" fillId="36" borderId="10" xfId="0" applyNumberFormat="1" applyFont="1" applyFill="1" applyBorder="1" applyAlignment="1">
      <alignment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0" fontId="12" fillId="0" borderId="0" xfId="54" applyFont="1" applyAlignment="1" applyProtection="1">
      <alignment horizontal="center"/>
      <protection/>
    </xf>
    <xf numFmtId="0" fontId="76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10048.4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5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86"/>
      <c r="S1" s="87"/>
    </row>
    <row r="2" spans="2:19" s="1" customFormat="1" ht="15.75" customHeight="1">
      <c r="B2" s="263"/>
      <c r="C2" s="263"/>
      <c r="D2" s="2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4"/>
      <c r="B3" s="266"/>
      <c r="C3" s="267" t="s">
        <v>0</v>
      </c>
      <c r="D3" s="268" t="s">
        <v>151</v>
      </c>
      <c r="E3" s="32"/>
      <c r="F3" s="269" t="s">
        <v>26</v>
      </c>
      <c r="G3" s="270"/>
      <c r="H3" s="270"/>
      <c r="I3" s="270"/>
      <c r="J3" s="271"/>
      <c r="K3" s="83"/>
      <c r="L3" s="83"/>
      <c r="M3" s="83"/>
      <c r="N3" s="272" t="s">
        <v>174</v>
      </c>
      <c r="O3" s="275" t="s">
        <v>175</v>
      </c>
      <c r="P3" s="275"/>
      <c r="Q3" s="275"/>
      <c r="R3" s="275"/>
      <c r="S3" s="275"/>
    </row>
    <row r="4" spans="1:19" ht="22.5" customHeight="1">
      <c r="A4" s="264"/>
      <c r="B4" s="266"/>
      <c r="C4" s="267"/>
      <c r="D4" s="268"/>
      <c r="E4" s="276" t="s">
        <v>154</v>
      </c>
      <c r="F4" s="278" t="s">
        <v>33</v>
      </c>
      <c r="G4" s="280" t="s">
        <v>173</v>
      </c>
      <c r="H4" s="273" t="s">
        <v>147</v>
      </c>
      <c r="I4" s="280" t="s">
        <v>138</v>
      </c>
      <c r="J4" s="273" t="s">
        <v>139</v>
      </c>
      <c r="K4" s="85" t="s">
        <v>141</v>
      </c>
      <c r="L4" s="204" t="s">
        <v>113</v>
      </c>
      <c r="M4" s="90" t="s">
        <v>63</v>
      </c>
      <c r="N4" s="273"/>
      <c r="O4" s="282" t="s">
        <v>179</v>
      </c>
      <c r="P4" s="280" t="s">
        <v>49</v>
      </c>
      <c r="Q4" s="284" t="s">
        <v>48</v>
      </c>
      <c r="R4" s="91" t="s">
        <v>64</v>
      </c>
      <c r="S4" s="92" t="s">
        <v>63</v>
      </c>
    </row>
    <row r="5" spans="1:19" ht="67.5" customHeight="1">
      <c r="A5" s="265"/>
      <c r="B5" s="266"/>
      <c r="C5" s="267"/>
      <c r="D5" s="268"/>
      <c r="E5" s="277"/>
      <c r="F5" s="279"/>
      <c r="G5" s="281"/>
      <c r="H5" s="274"/>
      <c r="I5" s="281"/>
      <c r="J5" s="274"/>
      <c r="K5" s="285" t="s">
        <v>148</v>
      </c>
      <c r="L5" s="286"/>
      <c r="M5" s="287"/>
      <c r="N5" s="274"/>
      <c r="O5" s="283"/>
      <c r="P5" s="281"/>
      <c r="Q5" s="284"/>
      <c r="R5" s="285" t="s">
        <v>102</v>
      </c>
      <c r="S5" s="2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285439.5</v>
      </c>
      <c r="F8" s="151">
        <f>F9+F15+F18+F19+F20+F37+F17</f>
        <v>217819.35000000003</v>
      </c>
      <c r="G8" s="151">
        <f aca="true" t="shared" si="0" ref="G8:G37">F8-E8</f>
        <v>-67620.14999999997</v>
      </c>
      <c r="H8" s="152">
        <f>F8/E8*100</f>
        <v>76.31016380003469</v>
      </c>
      <c r="I8" s="153">
        <f>F8-D8</f>
        <v>-1080631.75</v>
      </c>
      <c r="J8" s="153">
        <f>F8/D8*100</f>
        <v>16.7753217660642</v>
      </c>
      <c r="K8" s="151">
        <v>140423.02</v>
      </c>
      <c r="L8" s="151">
        <f aca="true" t="shared" si="1" ref="L8:L51">F8-K8</f>
        <v>77396.33000000005</v>
      </c>
      <c r="M8" s="205">
        <f aca="true" t="shared" si="2" ref="M8:M28">F8/K8</f>
        <v>1.5511655425157502</v>
      </c>
      <c r="N8" s="151">
        <f>N9+N15+N18+N19+N20+N17</f>
        <v>89194</v>
      </c>
      <c r="O8" s="151">
        <f>O9+O15+O18+O19+O20+O17</f>
        <v>22987.88000000001</v>
      </c>
      <c r="P8" s="151">
        <f>O8-N8</f>
        <v>-66206.12</v>
      </c>
      <c r="Q8" s="151">
        <f>O8/N8*100</f>
        <v>25.77289952238941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159160</v>
      </c>
      <c r="F9" s="156">
        <v>121051.55</v>
      </c>
      <c r="G9" s="150">
        <f t="shared" si="0"/>
        <v>-38108.45</v>
      </c>
      <c r="H9" s="157">
        <f>F9/E9*100</f>
        <v>76.05651545614475</v>
      </c>
      <c r="I9" s="158">
        <f>F9-D9</f>
        <v>-645593.45</v>
      </c>
      <c r="J9" s="158">
        <f>F9/D9*100</f>
        <v>15.789778841575957</v>
      </c>
      <c r="K9" s="227">
        <v>70324.6</v>
      </c>
      <c r="L9" s="159">
        <f t="shared" si="1"/>
        <v>50726.95</v>
      </c>
      <c r="M9" s="206">
        <f t="shared" si="2"/>
        <v>1.7213258233960804</v>
      </c>
      <c r="N9" s="157">
        <f>E9-лютий!E9</f>
        <v>56960</v>
      </c>
      <c r="O9" s="160">
        <f>F9-лютий!F9</f>
        <v>19165.61</v>
      </c>
      <c r="P9" s="161">
        <f>O9-N9</f>
        <v>-37794.39</v>
      </c>
      <c r="Q9" s="158">
        <f>O9/N9*100</f>
        <v>33.647489466292136</v>
      </c>
      <c r="R9" s="100"/>
      <c r="S9" s="101"/>
      <c r="T9" s="147">
        <f>D9-E9</f>
        <v>607485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143812</v>
      </c>
      <c r="F10" s="140">
        <v>111577.42</v>
      </c>
      <c r="G10" s="103">
        <f t="shared" si="0"/>
        <v>-32234.58</v>
      </c>
      <c r="H10" s="30">
        <f aca="true" t="shared" si="3" ref="H10:H36">F10/E10*100</f>
        <v>77.58561177092315</v>
      </c>
      <c r="I10" s="104">
        <f aca="true" t="shared" si="4" ref="I10:I37">F10-D10</f>
        <v>-589739.58</v>
      </c>
      <c r="J10" s="104">
        <f aca="true" t="shared" si="5" ref="J10:J36">F10/D10*100</f>
        <v>15.909698467312214</v>
      </c>
      <c r="K10" s="106">
        <v>62213.95</v>
      </c>
      <c r="L10" s="106">
        <f t="shared" si="1"/>
        <v>49363.47</v>
      </c>
      <c r="M10" s="207">
        <f t="shared" si="2"/>
        <v>1.7934469680835248</v>
      </c>
      <c r="N10" s="105">
        <f>E10-лютий!E10</f>
        <v>51464</v>
      </c>
      <c r="O10" s="144">
        <f>F10-лютий!F10</f>
        <v>18850.78</v>
      </c>
      <c r="P10" s="106">
        <f aca="true" t="shared" si="6" ref="P10:P37">O10-N10</f>
        <v>-32613.22</v>
      </c>
      <c r="Q10" s="104">
        <f aca="true" t="shared" si="7" ref="Q10:Q24">O10/N10*100</f>
        <v>36.629061091248246</v>
      </c>
      <c r="R10" s="37"/>
      <c r="S10" s="94"/>
      <c r="T10" s="147">
        <f aca="true" t="shared" si="8" ref="T10:T73">D10-E10</f>
        <v>557505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5898.3</v>
      </c>
      <c r="G11" s="103">
        <f t="shared" si="0"/>
        <v>-4901.7</v>
      </c>
      <c r="H11" s="30">
        <f t="shared" si="3"/>
        <v>54.613888888888894</v>
      </c>
      <c r="I11" s="104">
        <f t="shared" si="4"/>
        <v>-40607.7</v>
      </c>
      <c r="J11" s="104">
        <f t="shared" si="5"/>
        <v>12.682879628435039</v>
      </c>
      <c r="K11" s="106">
        <v>5319.16</v>
      </c>
      <c r="L11" s="106">
        <f t="shared" si="1"/>
        <v>579.1400000000003</v>
      </c>
      <c r="M11" s="207">
        <f t="shared" si="2"/>
        <v>1.1088780935335656</v>
      </c>
      <c r="N11" s="105">
        <f>E11-лютий!E11</f>
        <v>3600</v>
      </c>
      <c r="O11" s="144">
        <f>F11-лютий!F11</f>
        <v>3.0399999999999636</v>
      </c>
      <c r="P11" s="106">
        <f t="shared" si="6"/>
        <v>-3596.96</v>
      </c>
      <c r="Q11" s="104">
        <f t="shared" si="7"/>
        <v>0.08444444444444343</v>
      </c>
      <c r="R11" s="37"/>
      <c r="S11" s="94"/>
      <c r="T11" s="147">
        <f t="shared" si="8"/>
        <v>35706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1223.05</v>
      </c>
      <c r="G12" s="103">
        <f t="shared" si="0"/>
        <v>-516.95</v>
      </c>
      <c r="H12" s="30">
        <f t="shared" si="3"/>
        <v>70.29022988505747</v>
      </c>
      <c r="I12" s="104">
        <f t="shared" si="4"/>
        <v>-7056.95</v>
      </c>
      <c r="J12" s="104">
        <f t="shared" si="5"/>
        <v>14.771135265700483</v>
      </c>
      <c r="K12" s="106">
        <v>822.03</v>
      </c>
      <c r="L12" s="106">
        <f t="shared" si="1"/>
        <v>401.02</v>
      </c>
      <c r="M12" s="207">
        <f t="shared" si="2"/>
        <v>1.4878410763597436</v>
      </c>
      <c r="N12" s="105">
        <f>E12-лютий!E12</f>
        <v>900</v>
      </c>
      <c r="O12" s="144">
        <f>F12-лютий!F12</f>
        <v>185.62999999999988</v>
      </c>
      <c r="P12" s="106">
        <f t="shared" si="6"/>
        <v>-714.3700000000001</v>
      </c>
      <c r="Q12" s="104">
        <f t="shared" si="7"/>
        <v>20.625555555555543</v>
      </c>
      <c r="R12" s="37"/>
      <c r="S12" s="94"/>
      <c r="T12" s="147">
        <f t="shared" si="8"/>
        <v>6540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2130.64</v>
      </c>
      <c r="G13" s="103">
        <f t="shared" si="0"/>
        <v>-389.3600000000001</v>
      </c>
      <c r="H13" s="30">
        <f t="shared" si="3"/>
        <v>84.54920634920634</v>
      </c>
      <c r="I13" s="104">
        <f t="shared" si="4"/>
        <v>-7259.360000000001</v>
      </c>
      <c r="J13" s="104">
        <f t="shared" si="5"/>
        <v>22.69052183173589</v>
      </c>
      <c r="K13" s="106">
        <v>1514.49</v>
      </c>
      <c r="L13" s="106">
        <f t="shared" si="1"/>
        <v>616.1499999999999</v>
      </c>
      <c r="M13" s="207">
        <f t="shared" si="2"/>
        <v>1.4068366248704183</v>
      </c>
      <c r="N13" s="105">
        <f>E13-лютий!E13</f>
        <v>900</v>
      </c>
      <c r="O13" s="144">
        <f>F13-лютий!F13</f>
        <v>102.31999999999994</v>
      </c>
      <c r="P13" s="106">
        <f t="shared" si="6"/>
        <v>-797.6800000000001</v>
      </c>
      <c r="Q13" s="104">
        <f t="shared" si="7"/>
        <v>11.36888888888888</v>
      </c>
      <c r="R13" s="37"/>
      <c r="S13" s="94"/>
      <c r="T13" s="147">
        <f t="shared" si="8"/>
        <v>6870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222.14</v>
      </c>
      <c r="G14" s="103">
        <f t="shared" si="0"/>
        <v>-65.86000000000001</v>
      </c>
      <c r="H14" s="30">
        <f t="shared" si="3"/>
        <v>77.13194444444444</v>
      </c>
      <c r="I14" s="104">
        <f t="shared" si="4"/>
        <v>-929.86</v>
      </c>
      <c r="J14" s="104">
        <f t="shared" si="5"/>
        <v>19.28298611111111</v>
      </c>
      <c r="K14" s="106">
        <v>454.97</v>
      </c>
      <c r="L14" s="106">
        <f t="shared" si="1"/>
        <v>-232.83000000000004</v>
      </c>
      <c r="M14" s="207">
        <f t="shared" si="2"/>
        <v>0.4882519726575378</v>
      </c>
      <c r="N14" s="105">
        <f>E14-лютий!E14</f>
        <v>96</v>
      </c>
      <c r="O14" s="144">
        <f>F14-лютий!F14</f>
        <v>23.829999999999984</v>
      </c>
      <c r="P14" s="106">
        <f t="shared" si="6"/>
        <v>-72.17000000000002</v>
      </c>
      <c r="Q14" s="104">
        <f t="shared" si="7"/>
        <v>24.82291666666665</v>
      </c>
      <c r="R14" s="37"/>
      <c r="S14" s="94"/>
      <c r="T14" s="147">
        <f t="shared" si="8"/>
        <v>864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-373.48</v>
      </c>
      <c r="G15" s="150">
        <f t="shared" si="0"/>
        <v>-544.48</v>
      </c>
      <c r="H15" s="157">
        <f>F15/E15/100</f>
        <v>-0.02184093567251462</v>
      </c>
      <c r="I15" s="158">
        <f t="shared" si="4"/>
        <v>-924.48</v>
      </c>
      <c r="J15" s="158">
        <f t="shared" si="5"/>
        <v>-67.78221415607986</v>
      </c>
      <c r="K15" s="161">
        <v>85.14</v>
      </c>
      <c r="L15" s="161">
        <f t="shared" si="1"/>
        <v>-458.62</v>
      </c>
      <c r="M15" s="208">
        <f t="shared" si="2"/>
        <v>-4.386657270378201</v>
      </c>
      <c r="N15" s="164">
        <f>E15-лютий!E15</f>
        <v>120</v>
      </c>
      <c r="O15" s="168">
        <f>F15-лютий!F15</f>
        <v>-387.39000000000004</v>
      </c>
      <c r="P15" s="161">
        <f t="shared" si="6"/>
        <v>-507.39000000000004</v>
      </c>
      <c r="Q15" s="158">
        <f t="shared" si="7"/>
        <v>-322.82500000000005</v>
      </c>
      <c r="R15" s="37"/>
      <c r="S15" s="94"/>
      <c r="T15" s="147">
        <f t="shared" si="8"/>
        <v>380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 t="e">
        <f t="shared" si="7"/>
        <v>#DIV/0!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27800</v>
      </c>
      <c r="F19" s="156">
        <v>13989.25</v>
      </c>
      <c r="G19" s="150">
        <f t="shared" si="0"/>
        <v>-13810.75</v>
      </c>
      <c r="H19" s="157">
        <f t="shared" si="3"/>
        <v>50.32104316546763</v>
      </c>
      <c r="I19" s="158">
        <f t="shared" si="4"/>
        <v>-116010.75</v>
      </c>
      <c r="J19" s="158">
        <f t="shared" si="5"/>
        <v>10.760961538461538</v>
      </c>
      <c r="K19" s="169">
        <v>10861</v>
      </c>
      <c r="L19" s="161">
        <f t="shared" si="1"/>
        <v>3128.25</v>
      </c>
      <c r="M19" s="213">
        <f t="shared" si="2"/>
        <v>1.2880259644599945</v>
      </c>
      <c r="N19" s="164">
        <f>E19-лютий!E19</f>
        <v>9800</v>
      </c>
      <c r="O19" s="168">
        <f>F19-лютий!F19</f>
        <v>283.34000000000015</v>
      </c>
      <c r="P19" s="161">
        <f t="shared" si="6"/>
        <v>-9516.66</v>
      </c>
      <c r="Q19" s="158">
        <f t="shared" si="7"/>
        <v>2.89122448979592</v>
      </c>
      <c r="R19" s="107"/>
      <c r="S19" s="108"/>
      <c r="T19" s="147">
        <f t="shared" si="8"/>
        <v>102200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98238.5</v>
      </c>
      <c r="F20" s="223">
        <f>F21+F29+F30+F31+F32</f>
        <v>83033.57</v>
      </c>
      <c r="G20" s="150">
        <f t="shared" si="0"/>
        <v>-15204.929999999993</v>
      </c>
      <c r="H20" s="157">
        <f t="shared" si="3"/>
        <v>84.52243265115001</v>
      </c>
      <c r="I20" s="158">
        <f t="shared" si="4"/>
        <v>-318096.52999999997</v>
      </c>
      <c r="J20" s="158">
        <f t="shared" si="5"/>
        <v>20.699910079049168</v>
      </c>
      <c r="K20" s="158">
        <v>59046.44</v>
      </c>
      <c r="L20" s="161">
        <f t="shared" si="1"/>
        <v>23987.130000000005</v>
      </c>
      <c r="M20" s="209">
        <f t="shared" si="2"/>
        <v>1.4062417649565326</v>
      </c>
      <c r="N20" s="157">
        <f>E20-лютий!E20</f>
        <v>22314</v>
      </c>
      <c r="O20" s="160">
        <f>F20-лютий!F20</f>
        <v>3926.320000000007</v>
      </c>
      <c r="P20" s="161">
        <f t="shared" si="6"/>
        <v>-18387.679999999993</v>
      </c>
      <c r="Q20" s="158">
        <f t="shared" si="7"/>
        <v>17.595769472080338</v>
      </c>
      <c r="R20" s="107"/>
      <c r="S20" s="108"/>
      <c r="T20" s="147">
        <f t="shared" si="8"/>
        <v>302891.6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47840.8</v>
      </c>
      <c r="F21" s="170">
        <f>F22+F25+F26</f>
        <v>33448.16</v>
      </c>
      <c r="G21" s="150">
        <f t="shared" si="0"/>
        <v>-14392.64</v>
      </c>
      <c r="H21" s="157">
        <f t="shared" si="3"/>
        <v>69.91555325161787</v>
      </c>
      <c r="I21" s="158">
        <f t="shared" si="4"/>
        <v>-173172.84</v>
      </c>
      <c r="J21" s="158">
        <f t="shared" si="5"/>
        <v>16.188170611893273</v>
      </c>
      <c r="K21" s="158">
        <v>25484.06</v>
      </c>
      <c r="L21" s="161">
        <f t="shared" si="1"/>
        <v>7964.100000000002</v>
      </c>
      <c r="M21" s="209">
        <f t="shared" si="2"/>
        <v>1.3125129983213037</v>
      </c>
      <c r="N21" s="157">
        <f>E21-лютий!E21</f>
        <v>15760.000000000004</v>
      </c>
      <c r="O21" s="160">
        <f>F21-лютий!F21</f>
        <v>1993.1100000000042</v>
      </c>
      <c r="P21" s="161">
        <f t="shared" si="6"/>
        <v>-13766.89</v>
      </c>
      <c r="Q21" s="158">
        <f t="shared" si="7"/>
        <v>12.646637055837587</v>
      </c>
      <c r="R21" s="107"/>
      <c r="S21" s="108"/>
      <c r="T21" s="147">
        <f t="shared" si="8"/>
        <v>158780.2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4950</v>
      </c>
      <c r="F22" s="172">
        <v>4449.01</v>
      </c>
      <c r="G22" s="171">
        <f t="shared" si="0"/>
        <v>-500.9899999999998</v>
      </c>
      <c r="H22" s="173">
        <f t="shared" si="3"/>
        <v>89.8789898989899</v>
      </c>
      <c r="I22" s="174">
        <f t="shared" si="4"/>
        <v>-18359.989999999998</v>
      </c>
      <c r="J22" s="174">
        <f t="shared" si="5"/>
        <v>19.50550221403832</v>
      </c>
      <c r="K22" s="175">
        <v>3552.77</v>
      </c>
      <c r="L22" s="166">
        <f t="shared" si="1"/>
        <v>896.2400000000002</v>
      </c>
      <c r="M22" s="215">
        <f t="shared" si="2"/>
        <v>1.2522651339658915</v>
      </c>
      <c r="N22" s="195">
        <f>E22-лютий!E22</f>
        <v>575</v>
      </c>
      <c r="O22" s="179">
        <f>F22-лютий!F22</f>
        <v>40.80000000000018</v>
      </c>
      <c r="P22" s="177">
        <f t="shared" si="6"/>
        <v>-534.1999999999998</v>
      </c>
      <c r="Q22" s="174">
        <f t="shared" si="7"/>
        <v>7.095652173913075</v>
      </c>
      <c r="R22" s="107"/>
      <c r="S22" s="108"/>
      <c r="T22" s="147">
        <f t="shared" si="8"/>
        <v>17859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250</v>
      </c>
      <c r="F23" s="163">
        <v>150.48</v>
      </c>
      <c r="G23" s="198">
        <f t="shared" si="0"/>
        <v>-99.52000000000001</v>
      </c>
      <c r="H23" s="199">
        <f t="shared" si="3"/>
        <v>60.192</v>
      </c>
      <c r="I23" s="200">
        <f t="shared" si="4"/>
        <v>-1671.82</v>
      </c>
      <c r="J23" s="200">
        <f t="shared" si="5"/>
        <v>8.257696317840093</v>
      </c>
      <c r="K23" s="200">
        <v>146.88</v>
      </c>
      <c r="L23" s="200">
        <f t="shared" si="1"/>
        <v>3.5999999999999943</v>
      </c>
      <c r="M23" s="228">
        <f t="shared" si="2"/>
        <v>1.0245098039215685</v>
      </c>
      <c r="N23" s="237">
        <f>E23-лютий!E23</f>
        <v>55</v>
      </c>
      <c r="O23" s="237">
        <f>F23-лютий!F23</f>
        <v>0.25</v>
      </c>
      <c r="P23" s="200">
        <f t="shared" si="6"/>
        <v>-54.75</v>
      </c>
      <c r="Q23" s="200">
        <f t="shared" si="7"/>
        <v>0.45454545454545453</v>
      </c>
      <c r="R23" s="107"/>
      <c r="S23" s="108"/>
      <c r="T23" s="147">
        <f t="shared" si="8"/>
        <v>1572.3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4700</v>
      </c>
      <c r="F24" s="163">
        <v>4298.54</v>
      </c>
      <c r="G24" s="198">
        <f t="shared" si="0"/>
        <v>-401.46000000000004</v>
      </c>
      <c r="H24" s="199">
        <f t="shared" si="3"/>
        <v>91.45829787234042</v>
      </c>
      <c r="I24" s="200">
        <f t="shared" si="4"/>
        <v>-16688.16</v>
      </c>
      <c r="J24" s="200">
        <f t="shared" si="5"/>
        <v>20.482210161673823</v>
      </c>
      <c r="K24" s="200">
        <v>3405.89</v>
      </c>
      <c r="L24" s="200">
        <f t="shared" si="1"/>
        <v>892.6500000000001</v>
      </c>
      <c r="M24" s="228">
        <f t="shared" si="2"/>
        <v>1.2620900851172527</v>
      </c>
      <c r="N24" s="237">
        <f>E24-лютий!E24</f>
        <v>520</v>
      </c>
      <c r="O24" s="237">
        <f>F24-лютий!F24</f>
        <v>40.5600000000004</v>
      </c>
      <c r="P24" s="200">
        <f t="shared" si="6"/>
        <v>-479.4399999999996</v>
      </c>
      <c r="Q24" s="200">
        <f t="shared" si="7"/>
        <v>7.800000000000076</v>
      </c>
      <c r="R24" s="107"/>
      <c r="S24" s="108"/>
      <c r="T24" s="147">
        <f t="shared" si="8"/>
        <v>16286.7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55.8</v>
      </c>
      <c r="F25" s="172">
        <v>79.17</v>
      </c>
      <c r="G25" s="171">
        <f t="shared" si="0"/>
        <v>23.370000000000005</v>
      </c>
      <c r="H25" s="173">
        <f t="shared" si="3"/>
        <v>141.88172043010755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E25-лютий!E25</f>
        <v>5</v>
      </c>
      <c r="O25" s="179">
        <f>F25-лютий!F25</f>
        <v>0</v>
      </c>
      <c r="P25" s="177">
        <f t="shared" si="6"/>
        <v>-5</v>
      </c>
      <c r="Q25" s="174">
        <f>O25/N25*100</f>
        <v>0</v>
      </c>
      <c r="R25" s="107"/>
      <c r="S25" s="108"/>
      <c r="T25" s="147">
        <f t="shared" si="8"/>
        <v>764.2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42835</v>
      </c>
      <c r="F26" s="172">
        <v>28919.98</v>
      </c>
      <c r="G26" s="171">
        <f t="shared" si="0"/>
        <v>-13915.02</v>
      </c>
      <c r="H26" s="173">
        <f t="shared" si="3"/>
        <v>67.51483599859928</v>
      </c>
      <c r="I26" s="174">
        <f t="shared" si="4"/>
        <v>-154072.02</v>
      </c>
      <c r="J26" s="174">
        <f t="shared" si="5"/>
        <v>15.803958643000787</v>
      </c>
      <c r="K26" s="175">
        <v>21757.07</v>
      </c>
      <c r="L26" s="175">
        <f t="shared" si="1"/>
        <v>7162.91</v>
      </c>
      <c r="M26" s="211">
        <f t="shared" si="2"/>
        <v>1.3292221792732202</v>
      </c>
      <c r="N26" s="195">
        <f>E26-лютий!E26</f>
        <v>15180</v>
      </c>
      <c r="O26" s="179">
        <f>F26-лютий!F26</f>
        <v>1952.3100000000013</v>
      </c>
      <c r="P26" s="177">
        <f t="shared" si="6"/>
        <v>-13227.689999999999</v>
      </c>
      <c r="Q26" s="174">
        <f>O26/N26*100</f>
        <v>12.861067193675899</v>
      </c>
      <c r="R26" s="107"/>
      <c r="S26" s="108"/>
      <c r="T26" s="147">
        <f t="shared" si="8"/>
        <v>140157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12830</v>
      </c>
      <c r="F27" s="163">
        <v>9519.17</v>
      </c>
      <c r="G27" s="198">
        <f t="shared" si="0"/>
        <v>-3310.83</v>
      </c>
      <c r="H27" s="199">
        <f t="shared" si="3"/>
        <v>74.194621979735</v>
      </c>
      <c r="I27" s="200">
        <f t="shared" si="4"/>
        <v>-48013.83</v>
      </c>
      <c r="J27" s="200">
        <f t="shared" si="5"/>
        <v>16.545582535240644</v>
      </c>
      <c r="K27" s="200">
        <v>6708.33</v>
      </c>
      <c r="L27" s="200">
        <f t="shared" si="1"/>
        <v>2810.84</v>
      </c>
      <c r="M27" s="228">
        <f t="shared" si="2"/>
        <v>1.4190074131713855</v>
      </c>
      <c r="N27" s="237">
        <f>E27-лютий!E27</f>
        <v>4650</v>
      </c>
      <c r="O27" s="237">
        <f>F27-лютий!F27</f>
        <v>659.960000000001</v>
      </c>
      <c r="P27" s="200">
        <f t="shared" si="6"/>
        <v>-3990.039999999999</v>
      </c>
      <c r="Q27" s="200">
        <f>O27/N27*100</f>
        <v>14.192688172043031</v>
      </c>
      <c r="R27" s="107"/>
      <c r="S27" s="108"/>
      <c r="T27" s="147">
        <f t="shared" si="8"/>
        <v>44703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30005</v>
      </c>
      <c r="F28" s="163">
        <v>19400.81</v>
      </c>
      <c r="G28" s="198">
        <f t="shared" si="0"/>
        <v>-10604.189999999999</v>
      </c>
      <c r="H28" s="199">
        <f t="shared" si="3"/>
        <v>64.65859023496084</v>
      </c>
      <c r="I28" s="200">
        <f t="shared" si="4"/>
        <v>-106058.19</v>
      </c>
      <c r="J28" s="200">
        <f t="shared" si="5"/>
        <v>15.463864688862497</v>
      </c>
      <c r="K28" s="200">
        <v>15048.75</v>
      </c>
      <c r="L28" s="200">
        <f t="shared" si="1"/>
        <v>4352.060000000001</v>
      </c>
      <c r="M28" s="228">
        <f t="shared" si="2"/>
        <v>1.2891974416479774</v>
      </c>
      <c r="N28" s="237">
        <f>E28-лютий!E28</f>
        <v>10530</v>
      </c>
      <c r="O28" s="237">
        <f>F28-лютий!F28</f>
        <v>1292.3500000000022</v>
      </c>
      <c r="P28" s="200">
        <f t="shared" si="6"/>
        <v>-9237.649999999998</v>
      </c>
      <c r="Q28" s="200">
        <f>O28/N28*100</f>
        <v>12.273029439696128</v>
      </c>
      <c r="R28" s="107"/>
      <c r="S28" s="108"/>
      <c r="T28" s="147">
        <f t="shared" si="8"/>
        <v>95454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E29-лютий!E29</f>
        <v>0</v>
      </c>
      <c r="O29" s="160">
        <f>F29-лютий!F29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19</v>
      </c>
      <c r="F30" s="156">
        <v>34.2</v>
      </c>
      <c r="G30" s="150">
        <f t="shared" si="0"/>
        <v>15.200000000000003</v>
      </c>
      <c r="H30" s="157">
        <f t="shared" si="3"/>
        <v>180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E30-лютий!E30</f>
        <v>4</v>
      </c>
      <c r="O30" s="160">
        <f>F30-лютий!F30</f>
        <v>0</v>
      </c>
      <c r="P30" s="161">
        <f t="shared" si="6"/>
        <v>-4</v>
      </c>
      <c r="Q30" s="158">
        <f>O30/N30*100</f>
        <v>0</v>
      </c>
      <c r="R30" s="107"/>
      <c r="S30" s="108"/>
      <c r="T30" s="147">
        <f t="shared" si="8"/>
        <v>96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-10.18</v>
      </c>
      <c r="G31" s="150">
        <f t="shared" si="0"/>
        <v>-10.18</v>
      </c>
      <c r="H31" s="157"/>
      <c r="I31" s="158">
        <f t="shared" si="4"/>
        <v>-10.18</v>
      </c>
      <c r="J31" s="158"/>
      <c r="K31" s="158">
        <v>-52.93</v>
      </c>
      <c r="L31" s="158">
        <f t="shared" si="1"/>
        <v>42.75</v>
      </c>
      <c r="M31" s="210">
        <f>F31/K31</f>
        <v>0.19232949178159833</v>
      </c>
      <c r="N31" s="157">
        <f>E31-лютий!E31</f>
        <v>0</v>
      </c>
      <c r="O31" s="160">
        <f>F31-лютий!F31</f>
        <v>0.5800000000000001</v>
      </c>
      <c r="P31" s="161">
        <f t="shared" si="6"/>
        <v>0.5800000000000001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50378.7</v>
      </c>
      <c r="F32" s="163">
        <v>49561.19</v>
      </c>
      <c r="G32" s="162">
        <f t="shared" si="0"/>
        <v>-817.5099999999948</v>
      </c>
      <c r="H32" s="164">
        <f t="shared" si="3"/>
        <v>98.37727055283285</v>
      </c>
      <c r="I32" s="165">
        <f t="shared" si="4"/>
        <v>-144832.91</v>
      </c>
      <c r="J32" s="165">
        <f t="shared" si="5"/>
        <v>25.495213074882418</v>
      </c>
      <c r="K32" s="178">
        <v>33594.51</v>
      </c>
      <c r="L32" s="178">
        <f>F32-K32</f>
        <v>15966.68</v>
      </c>
      <c r="M32" s="226">
        <f>F32/K32</f>
        <v>1.4752764663035716</v>
      </c>
      <c r="N32" s="157">
        <f>E32-лютий!E32</f>
        <v>6550</v>
      </c>
      <c r="O32" s="160">
        <f>F32-лютий!F32</f>
        <v>1932.6300000000047</v>
      </c>
      <c r="P32" s="167">
        <f t="shared" si="6"/>
        <v>-4617.369999999995</v>
      </c>
      <c r="Q32" s="165">
        <f>O32/N32*100</f>
        <v>29.50580152671763</v>
      </c>
      <c r="R32" s="107"/>
      <c r="S32" s="108"/>
      <c r="T32" s="147">
        <f t="shared" si="8"/>
        <v>144015.40000000002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E33-лютий!E33</f>
        <v>0</v>
      </c>
      <c r="O33" s="144">
        <f>F33-лютий!F33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10160</v>
      </c>
      <c r="F34" s="140">
        <v>9953.32</v>
      </c>
      <c r="G34" s="103">
        <f t="shared" si="0"/>
        <v>-206.6800000000003</v>
      </c>
      <c r="H34" s="105">
        <f t="shared" si="3"/>
        <v>97.96574803149606</v>
      </c>
      <c r="I34" s="104">
        <f t="shared" si="4"/>
        <v>-31046.68</v>
      </c>
      <c r="J34" s="104">
        <f t="shared" si="5"/>
        <v>24.276390243902437</v>
      </c>
      <c r="K34" s="127">
        <v>8679.27</v>
      </c>
      <c r="L34" s="127">
        <f t="shared" si="1"/>
        <v>1274.0499999999993</v>
      </c>
      <c r="M34" s="216">
        <f t="shared" si="9"/>
        <v>1.1467922993523647</v>
      </c>
      <c r="N34" s="105">
        <f>E34-лютий!E34</f>
        <v>1050</v>
      </c>
      <c r="O34" s="144">
        <f>F34-лютий!F34</f>
        <v>197.36999999999898</v>
      </c>
      <c r="P34" s="106">
        <f t="shared" si="6"/>
        <v>-852.630000000001</v>
      </c>
      <c r="Q34" s="104">
        <f>O34/N34*100</f>
        <v>18.79714285714276</v>
      </c>
      <c r="R34" s="107"/>
      <c r="S34" s="108"/>
      <c r="T34" s="147">
        <f t="shared" si="8"/>
        <v>30840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40200</v>
      </c>
      <c r="F35" s="140">
        <v>39591.76</v>
      </c>
      <c r="G35" s="103">
        <f t="shared" si="0"/>
        <v>-608.239999999998</v>
      </c>
      <c r="H35" s="105">
        <f t="shared" si="3"/>
        <v>98.48696517412935</v>
      </c>
      <c r="I35" s="104">
        <f t="shared" si="4"/>
        <v>-113747.34</v>
      </c>
      <c r="J35" s="104">
        <f t="shared" si="5"/>
        <v>25.81974199665969</v>
      </c>
      <c r="K35" s="127">
        <v>24907.67</v>
      </c>
      <c r="L35" s="127">
        <f t="shared" si="1"/>
        <v>14684.090000000004</v>
      </c>
      <c r="M35" s="216">
        <f t="shared" si="9"/>
        <v>1.5895408924239</v>
      </c>
      <c r="N35" s="105">
        <f>E35-лютий!E35</f>
        <v>5500</v>
      </c>
      <c r="O35" s="144">
        <f>F35-лютий!F35</f>
        <v>1735.260000000002</v>
      </c>
      <c r="P35" s="106">
        <f t="shared" si="6"/>
        <v>-3764.739999999998</v>
      </c>
      <c r="Q35" s="104">
        <f>O35/N35*100</f>
        <v>31.550181818181855</v>
      </c>
      <c r="R35" s="107"/>
      <c r="S35" s="108"/>
      <c r="T35" s="147">
        <f t="shared" si="8"/>
        <v>113139.1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E36-лютий!E36</f>
        <v>0</v>
      </c>
      <c r="O36" s="144">
        <f>F36-лютий!F36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E37-лютий!E37</f>
        <v>0</v>
      </c>
      <c r="O37" s="160">
        <f>F37-лютий!F37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12913.7</v>
      </c>
      <c r="F38" s="151">
        <f>F39+F40+F41+F42+F43+F45+F47+F48+F49+F50+F51+F56+F57+F61+F44</f>
        <v>12075.289999999999</v>
      </c>
      <c r="G38" s="151">
        <f>G39+G40+G41+G42+G43+G45+G47+G48+G49+G50+G51+G56+G57+G61</f>
        <v>-811.2199999999993</v>
      </c>
      <c r="H38" s="152">
        <f>F38/E38*100</f>
        <v>93.50759271161633</v>
      </c>
      <c r="I38" s="153">
        <f>F38-D38</f>
        <v>-46949.71</v>
      </c>
      <c r="J38" s="153">
        <f>F38/D38*100</f>
        <v>20.457924608216857</v>
      </c>
      <c r="K38" s="151">
        <v>4916.44</v>
      </c>
      <c r="L38" s="151">
        <f t="shared" si="1"/>
        <v>7158.849999999999</v>
      </c>
      <c r="M38" s="205">
        <f t="shared" si="9"/>
        <v>2.4561044170171913</v>
      </c>
      <c r="N38" s="151">
        <f>N39+N40+N41+N42+N43+N45+N47+N48+N49+N50+N51+N56+N57+N61+N44</f>
        <v>5139.6</v>
      </c>
      <c r="O38" s="151">
        <f>O39+O40+O41+O42+O43+O45+O47+O48+O49+O50+O51+O56+O57+O61+O44</f>
        <v>3383.6600000000003</v>
      </c>
      <c r="P38" s="151">
        <f>P39+P40+P41+P42+P43+P45+P47+P48+P49+P50+P51+P56+P57+P61</f>
        <v>-1742.3499999999992</v>
      </c>
      <c r="Q38" s="151">
        <f>O38/N38*100</f>
        <v>65.83508444236905</v>
      </c>
      <c r="R38" s="15" t="e">
        <f>#N/A</f>
        <v>#N/A</v>
      </c>
      <c r="S38" s="15" t="e">
        <f>#N/A</f>
        <v>#N/A</v>
      </c>
      <c r="T38" s="147">
        <f t="shared" si="8"/>
        <v>46111.3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-186.82</v>
      </c>
      <c r="G39" s="162">
        <f>F39-E39</f>
        <v>-266.82</v>
      </c>
      <c r="H39" s="164"/>
      <c r="I39" s="165">
        <f>F39-D39</f>
        <v>-766.8199999999999</v>
      </c>
      <c r="J39" s="165">
        <f>F39/D39*100</f>
        <v>-32.210344827586205</v>
      </c>
      <c r="K39" s="165">
        <v>78.05</v>
      </c>
      <c r="L39" s="165">
        <f t="shared" si="1"/>
        <v>-264.87</v>
      </c>
      <c r="M39" s="218">
        <f t="shared" si="9"/>
        <v>-2.3935938500960923</v>
      </c>
      <c r="N39" s="164">
        <f>E39-лютий!E39</f>
        <v>0</v>
      </c>
      <c r="O39" s="168">
        <f>F39-лютий!F39</f>
        <v>-196</v>
      </c>
      <c r="P39" s="167">
        <f>O39-N39</f>
        <v>-196</v>
      </c>
      <c r="Q39" s="165" t="e">
        <f aca="true" t="shared" si="10" ref="Q39:Q62">O39/N39*100</f>
        <v>#DIV/0!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5300</v>
      </c>
      <c r="F40" s="156">
        <v>4701.84</v>
      </c>
      <c r="G40" s="162">
        <f aca="true" t="shared" si="11" ref="G40:G63">F40-E40</f>
        <v>-598.1599999999999</v>
      </c>
      <c r="H40" s="164"/>
      <c r="I40" s="165">
        <f aca="true" t="shared" si="12" ref="I40:I63">F40-D40</f>
        <v>-25298.16</v>
      </c>
      <c r="J40" s="165">
        <f>F40/D40*100</f>
        <v>15.6728</v>
      </c>
      <c r="K40" s="165">
        <v>432.1</v>
      </c>
      <c r="L40" s="165">
        <f t="shared" si="1"/>
        <v>4269.74</v>
      </c>
      <c r="M40" s="218"/>
      <c r="N40" s="164">
        <f>E40-лютий!E40</f>
        <v>2800</v>
      </c>
      <c r="O40" s="168">
        <f>F40-лютий!F40</f>
        <v>2585.52</v>
      </c>
      <c r="P40" s="167">
        <f aca="true" t="shared" si="13" ref="P40:P63">O40-N40</f>
        <v>-214.48000000000002</v>
      </c>
      <c r="Q40" s="165">
        <f t="shared" si="10"/>
        <v>92.34</v>
      </c>
      <c r="R40" s="37"/>
      <c r="S40" s="94"/>
      <c r="T40" s="147">
        <f t="shared" si="8"/>
        <v>24700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19</v>
      </c>
      <c r="F41" s="156">
        <v>62.08</v>
      </c>
      <c r="G41" s="162">
        <f t="shared" si="11"/>
        <v>43.08</v>
      </c>
      <c r="H41" s="164">
        <f aca="true" t="shared" si="14" ref="H41:H62">F41/E41*100</f>
        <v>326.7368421052632</v>
      </c>
      <c r="I41" s="165">
        <f t="shared" si="12"/>
        <v>22.08</v>
      </c>
      <c r="J41" s="165">
        <f aca="true" t="shared" si="15" ref="J41:J62">F41/D41*100</f>
        <v>155.20000000000002</v>
      </c>
      <c r="K41" s="165">
        <v>24.38</v>
      </c>
      <c r="L41" s="165">
        <f t="shared" si="1"/>
        <v>37.7</v>
      </c>
      <c r="M41" s="218">
        <f aca="true" t="shared" si="16" ref="M41:M63">F41/K41</f>
        <v>2.546349466776046</v>
      </c>
      <c r="N41" s="164">
        <f>E41-лютий!E41</f>
        <v>3</v>
      </c>
      <c r="O41" s="168">
        <f>F41-лютий!F41</f>
        <v>5</v>
      </c>
      <c r="P41" s="167">
        <f t="shared" si="13"/>
        <v>2</v>
      </c>
      <c r="Q41" s="165"/>
      <c r="R41" s="37"/>
      <c r="S41" s="94"/>
      <c r="T41" s="147">
        <f t="shared" si="8"/>
        <v>21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E42-лютий!E42</f>
        <v>0</v>
      </c>
      <c r="O42" s="168">
        <f>F42-лютий!F42</f>
        <v>0</v>
      </c>
      <c r="P42" s="167">
        <f t="shared" si="13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62</v>
      </c>
      <c r="F43" s="156">
        <v>91.32</v>
      </c>
      <c r="G43" s="162">
        <f t="shared" si="11"/>
        <v>29.319999999999993</v>
      </c>
      <c r="H43" s="164">
        <f t="shared" si="14"/>
        <v>147.29032258064515</v>
      </c>
      <c r="I43" s="165">
        <f t="shared" si="12"/>
        <v>-168.68</v>
      </c>
      <c r="J43" s="165">
        <f t="shared" si="15"/>
        <v>35.123076923076916</v>
      </c>
      <c r="K43" s="165">
        <v>3.65</v>
      </c>
      <c r="L43" s="165">
        <f t="shared" si="1"/>
        <v>87.66999999999999</v>
      </c>
      <c r="M43" s="218">
        <f t="shared" si="16"/>
        <v>25.01917808219178</v>
      </c>
      <c r="N43" s="164">
        <f>E43-лютий!E43</f>
        <v>22</v>
      </c>
      <c r="O43" s="168">
        <f>F43-лютий!F43</f>
        <v>9.239999999999995</v>
      </c>
      <c r="P43" s="167">
        <f t="shared" si="13"/>
        <v>-12.760000000000005</v>
      </c>
      <c r="Q43" s="165">
        <f t="shared" si="10"/>
        <v>41.99999999999998</v>
      </c>
      <c r="R43" s="37"/>
      <c r="S43" s="94"/>
      <c r="T43" s="147">
        <f t="shared" si="8"/>
        <v>198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27.2</v>
      </c>
      <c r="F44" s="156">
        <v>0.01</v>
      </c>
      <c r="G44" s="162">
        <f t="shared" si="11"/>
        <v>-27.189999999999998</v>
      </c>
      <c r="H44" s="164"/>
      <c r="I44" s="165">
        <f t="shared" si="12"/>
        <v>-97.49</v>
      </c>
      <c r="J44" s="165"/>
      <c r="K44" s="165">
        <v>0</v>
      </c>
      <c r="L44" s="165">
        <f t="shared" si="1"/>
        <v>0.01</v>
      </c>
      <c r="M44" s="218"/>
      <c r="N44" s="164">
        <f>E44-лютий!E44</f>
        <v>13.6</v>
      </c>
      <c r="O44" s="168">
        <f>F44-лютий!F44</f>
        <v>0.01</v>
      </c>
      <c r="P44" s="167"/>
      <c r="Q44" s="165"/>
      <c r="R44" s="37"/>
      <c r="S44" s="94"/>
      <c r="T44" s="147">
        <f t="shared" si="8"/>
        <v>70.3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180</v>
      </c>
      <c r="F45" s="156">
        <v>217.68</v>
      </c>
      <c r="G45" s="162">
        <f t="shared" si="11"/>
        <v>37.68000000000001</v>
      </c>
      <c r="H45" s="164">
        <f t="shared" si="14"/>
        <v>120.93333333333334</v>
      </c>
      <c r="I45" s="165">
        <f t="shared" si="12"/>
        <v>-512.3199999999999</v>
      </c>
      <c r="J45" s="165">
        <f t="shared" si="15"/>
        <v>29.819178082191783</v>
      </c>
      <c r="K45" s="165">
        <v>0</v>
      </c>
      <c r="L45" s="165">
        <f t="shared" si="1"/>
        <v>217.68</v>
      </c>
      <c r="M45" s="218"/>
      <c r="N45" s="164">
        <f>E45-лютий!E45</f>
        <v>60</v>
      </c>
      <c r="O45" s="168">
        <f>F45-лютий!F45</f>
        <v>25.29000000000002</v>
      </c>
      <c r="P45" s="167">
        <f t="shared" si="13"/>
        <v>-34.70999999999998</v>
      </c>
      <c r="Q45" s="165">
        <f t="shared" si="10"/>
        <v>42.150000000000034</v>
      </c>
      <c r="R45" s="37"/>
      <c r="S45" s="94"/>
      <c r="T45" s="147">
        <f t="shared" si="8"/>
        <v>550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E46-лютий!E46</f>
        <v>0</v>
      </c>
      <c r="O46" s="168">
        <f>F46-лютий!F46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2300</v>
      </c>
      <c r="F47" s="156">
        <v>2489.05</v>
      </c>
      <c r="G47" s="162">
        <f t="shared" si="11"/>
        <v>189.05000000000018</v>
      </c>
      <c r="H47" s="164">
        <f t="shared" si="14"/>
        <v>108.2195652173913</v>
      </c>
      <c r="I47" s="165">
        <f t="shared" si="12"/>
        <v>-8510.95</v>
      </c>
      <c r="J47" s="165">
        <f t="shared" si="15"/>
        <v>22.627727272727274</v>
      </c>
      <c r="K47" s="165">
        <v>1351.17</v>
      </c>
      <c r="L47" s="165">
        <f t="shared" si="1"/>
        <v>1137.88</v>
      </c>
      <c r="M47" s="218">
        <f t="shared" si="16"/>
        <v>1.8421442157537542</v>
      </c>
      <c r="N47" s="164">
        <f>E47-лютий!E47</f>
        <v>900</v>
      </c>
      <c r="O47" s="168">
        <f>F47-лютий!F47</f>
        <v>345.3300000000004</v>
      </c>
      <c r="P47" s="167">
        <f t="shared" si="13"/>
        <v>-554.6699999999996</v>
      </c>
      <c r="Q47" s="165">
        <f t="shared" si="10"/>
        <v>38.37000000000004</v>
      </c>
      <c r="R47" s="37"/>
      <c r="S47" s="94"/>
      <c r="T47" s="147">
        <f t="shared" si="8"/>
        <v>8700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75</v>
      </c>
      <c r="F48" s="156">
        <v>99.38</v>
      </c>
      <c r="G48" s="162">
        <f t="shared" si="11"/>
        <v>24.379999999999995</v>
      </c>
      <c r="H48" s="164">
        <f t="shared" si="14"/>
        <v>132.50666666666666</v>
      </c>
      <c r="I48" s="165">
        <f t="shared" si="12"/>
        <v>-210.62</v>
      </c>
      <c r="J48" s="165">
        <f t="shared" si="15"/>
        <v>32.05806451612903</v>
      </c>
      <c r="K48" s="165">
        <v>1.03</v>
      </c>
      <c r="L48" s="165">
        <f t="shared" si="1"/>
        <v>98.35</v>
      </c>
      <c r="M48" s="218"/>
      <c r="N48" s="164">
        <f>E48-лютий!E48</f>
        <v>25</v>
      </c>
      <c r="O48" s="168">
        <f>F48-лютий!F48</f>
        <v>8.939999999999998</v>
      </c>
      <c r="P48" s="167">
        <f t="shared" si="13"/>
        <v>-16.060000000000002</v>
      </c>
      <c r="Q48" s="165"/>
      <c r="R48" s="37"/>
      <c r="S48" s="94"/>
      <c r="T48" s="147">
        <f t="shared" si="8"/>
        <v>235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3</v>
      </c>
      <c r="F49" s="156">
        <v>1.6</v>
      </c>
      <c r="G49" s="162">
        <f t="shared" si="11"/>
        <v>-1.4</v>
      </c>
      <c r="H49" s="164">
        <f t="shared" si="14"/>
        <v>53.333333333333336</v>
      </c>
      <c r="I49" s="165">
        <f t="shared" si="12"/>
        <v>-18.4</v>
      </c>
      <c r="J49" s="165">
        <f t="shared" si="15"/>
        <v>8</v>
      </c>
      <c r="K49" s="165">
        <v>0</v>
      </c>
      <c r="L49" s="165">
        <f t="shared" si="1"/>
        <v>1.6</v>
      </c>
      <c r="M49" s="218"/>
      <c r="N49" s="164">
        <f>E49-лютий!E49</f>
        <v>1</v>
      </c>
      <c r="O49" s="168">
        <f>F49-лютий!F49</f>
        <v>1.6</v>
      </c>
      <c r="P49" s="167">
        <f t="shared" si="13"/>
        <v>0.6000000000000001</v>
      </c>
      <c r="Q49" s="165">
        <f t="shared" si="10"/>
        <v>160</v>
      </c>
      <c r="R49" s="37"/>
      <c r="S49" s="94"/>
      <c r="T49" s="147">
        <f t="shared" si="8"/>
        <v>17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1820</v>
      </c>
      <c r="F50" s="156">
        <v>1625.09</v>
      </c>
      <c r="G50" s="162">
        <f t="shared" si="11"/>
        <v>-194.91000000000008</v>
      </c>
      <c r="H50" s="164">
        <f t="shared" si="14"/>
        <v>89.29065934065935</v>
      </c>
      <c r="I50" s="165">
        <f t="shared" si="12"/>
        <v>-5649.91</v>
      </c>
      <c r="J50" s="165">
        <f t="shared" si="15"/>
        <v>22.33800687285223</v>
      </c>
      <c r="K50" s="165">
        <v>1303.34</v>
      </c>
      <c r="L50" s="165">
        <f t="shared" si="1"/>
        <v>321.75</v>
      </c>
      <c r="M50" s="218">
        <f t="shared" si="16"/>
        <v>1.246865744932251</v>
      </c>
      <c r="N50" s="164">
        <f>E50-лютий!E50</f>
        <v>620</v>
      </c>
      <c r="O50" s="168">
        <f>F50-лютий!F50</f>
        <v>461.74</v>
      </c>
      <c r="P50" s="167">
        <f t="shared" si="13"/>
        <v>-158.26</v>
      </c>
      <c r="Q50" s="165">
        <f t="shared" si="10"/>
        <v>74.4741935483871</v>
      </c>
      <c r="R50" s="37"/>
      <c r="S50" s="94"/>
      <c r="T50" s="147">
        <f t="shared" si="8"/>
        <v>5455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235</v>
      </c>
      <c r="F51" s="156">
        <v>112.71</v>
      </c>
      <c r="G51" s="162">
        <f t="shared" si="11"/>
        <v>-122.29</v>
      </c>
      <c r="H51" s="164">
        <f t="shared" si="14"/>
        <v>47.96170212765957</v>
      </c>
      <c r="I51" s="165">
        <f t="shared" si="12"/>
        <v>-1087.29</v>
      </c>
      <c r="J51" s="165">
        <f t="shared" si="15"/>
        <v>9.3925</v>
      </c>
      <c r="K51" s="165">
        <v>965.16</v>
      </c>
      <c r="L51" s="165">
        <f t="shared" si="1"/>
        <v>-852.4499999999999</v>
      </c>
      <c r="M51" s="218">
        <f t="shared" si="16"/>
        <v>0.11677856521198557</v>
      </c>
      <c r="N51" s="164">
        <f>E51-лютий!E51</f>
        <v>95</v>
      </c>
      <c r="O51" s="168">
        <f>F51-лютий!F51</f>
        <v>23.659999999999997</v>
      </c>
      <c r="P51" s="167">
        <f t="shared" si="13"/>
        <v>-71.34</v>
      </c>
      <c r="Q51" s="165">
        <f t="shared" si="10"/>
        <v>24.905263157894733</v>
      </c>
      <c r="R51" s="37"/>
      <c r="S51" s="94"/>
      <c r="T51" s="147">
        <f t="shared" si="8"/>
        <v>965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190</v>
      </c>
      <c r="F52" s="140">
        <v>95.28</v>
      </c>
      <c r="G52" s="34">
        <f t="shared" si="11"/>
        <v>-94.72</v>
      </c>
      <c r="H52" s="30">
        <f t="shared" si="14"/>
        <v>50.14736842105263</v>
      </c>
      <c r="I52" s="104">
        <f t="shared" si="12"/>
        <v>-902.72</v>
      </c>
      <c r="J52" s="104">
        <f t="shared" si="15"/>
        <v>9.547094188376754</v>
      </c>
      <c r="K52" s="104">
        <v>86.43</v>
      </c>
      <c r="L52" s="104">
        <f>F52-K52</f>
        <v>8.849999999999994</v>
      </c>
      <c r="M52" s="109">
        <f t="shared" si="16"/>
        <v>1.1023950017355084</v>
      </c>
      <c r="N52" s="105">
        <f>E52-лютий!E52</f>
        <v>80</v>
      </c>
      <c r="O52" s="144">
        <f>F52-лютий!F52</f>
        <v>21.570000000000007</v>
      </c>
      <c r="P52" s="106">
        <f t="shared" si="13"/>
        <v>-58.42999999999999</v>
      </c>
      <c r="Q52" s="119">
        <f t="shared" si="10"/>
        <v>26.962500000000013</v>
      </c>
      <c r="R52" s="37"/>
      <c r="S52" s="94"/>
      <c r="T52" s="147">
        <f t="shared" si="8"/>
        <v>808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05">
        <f>E53-лютий!E53</f>
        <v>0</v>
      </c>
      <c r="O53" s="144">
        <f>F53-лютий!F53</f>
        <v>0</v>
      </c>
      <c r="P53" s="106">
        <f t="shared" si="13"/>
        <v>0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05">
        <f>E54-лютий!E54</f>
        <v>0</v>
      </c>
      <c r="O54" s="144">
        <f>F54-лютий!F54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45</v>
      </c>
      <c r="F55" s="140">
        <v>17.33</v>
      </c>
      <c r="G55" s="34">
        <f t="shared" si="11"/>
        <v>-27.67</v>
      </c>
      <c r="H55" s="30">
        <f t="shared" si="14"/>
        <v>38.511111111111106</v>
      </c>
      <c r="I55" s="104">
        <f t="shared" si="12"/>
        <v>-182.67000000000002</v>
      </c>
      <c r="J55" s="104">
        <f t="shared" si="15"/>
        <v>8.665</v>
      </c>
      <c r="K55" s="104">
        <v>878.65</v>
      </c>
      <c r="L55" s="104">
        <f>F55-K55</f>
        <v>-861.3199999999999</v>
      </c>
      <c r="M55" s="109">
        <f t="shared" si="16"/>
        <v>0.019723439367211063</v>
      </c>
      <c r="N55" s="105">
        <f>E55-лютий!E55</f>
        <v>15</v>
      </c>
      <c r="O55" s="144">
        <f>F55-лютий!F55</f>
        <v>2.089999999999998</v>
      </c>
      <c r="P55" s="106">
        <f t="shared" si="13"/>
        <v>-12.910000000000002</v>
      </c>
      <c r="Q55" s="119">
        <f t="shared" si="10"/>
        <v>13.93333333333332</v>
      </c>
      <c r="R55" s="37"/>
      <c r="S55" s="94"/>
      <c r="T55" s="147">
        <f t="shared" si="8"/>
        <v>155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E56-лютий!E56</f>
        <v>0</v>
      </c>
      <c r="O56" s="168">
        <f>F56-лютий!F56</f>
        <v>0</v>
      </c>
      <c r="P56" s="167">
        <f t="shared" si="13"/>
        <v>0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2800</v>
      </c>
      <c r="F57" s="156">
        <v>2824.76</v>
      </c>
      <c r="G57" s="162">
        <f t="shared" si="11"/>
        <v>24.76000000000022</v>
      </c>
      <c r="H57" s="164">
        <f t="shared" si="14"/>
        <v>100.88428571428571</v>
      </c>
      <c r="I57" s="165">
        <f t="shared" si="12"/>
        <v>-4525.24</v>
      </c>
      <c r="J57" s="165">
        <f t="shared" si="15"/>
        <v>38.432108843537414</v>
      </c>
      <c r="K57" s="165">
        <v>722.66</v>
      </c>
      <c r="L57" s="165">
        <f aca="true" t="shared" si="17" ref="L57:L63">F57-K57</f>
        <v>2102.1000000000004</v>
      </c>
      <c r="M57" s="218">
        <f t="shared" si="16"/>
        <v>3.9088367973874303</v>
      </c>
      <c r="N57" s="164">
        <f>E57-лютий!E57</f>
        <v>600</v>
      </c>
      <c r="O57" s="168">
        <f>F57-лютий!F57</f>
        <v>113.33000000000038</v>
      </c>
      <c r="P57" s="167">
        <f t="shared" si="13"/>
        <v>-486.6699999999996</v>
      </c>
      <c r="Q57" s="165">
        <f t="shared" si="10"/>
        <v>18.888333333333396</v>
      </c>
      <c r="R57" s="37"/>
      <c r="S57" s="94"/>
      <c r="T57" s="147">
        <f t="shared" si="8"/>
        <v>4550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E58-лютий!E58</f>
        <v>0</v>
      </c>
      <c r="O58" s="168">
        <f>F58-лютий!F58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335.98</v>
      </c>
      <c r="G59" s="162"/>
      <c r="H59" s="164"/>
      <c r="I59" s="165"/>
      <c r="J59" s="165"/>
      <c r="K59" s="166">
        <v>147.3</v>
      </c>
      <c r="L59" s="165">
        <f t="shared" si="17"/>
        <v>188.68</v>
      </c>
      <c r="M59" s="218">
        <f t="shared" si="16"/>
        <v>2.2809232858112694</v>
      </c>
      <c r="N59" s="195">
        <f>E59-лютий!E59</f>
        <v>0</v>
      </c>
      <c r="O59" s="179">
        <f>F59-лютий!F59</f>
        <v>50.650000000000034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E60-лютий!E60</f>
        <v>0</v>
      </c>
      <c r="O60" s="168">
        <f>F60-лютий!F60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E61-лютий!E61</f>
        <v>0</v>
      </c>
      <c r="O61" s="168">
        <f>F61-лютий!F61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3.7</v>
      </c>
      <c r="F62" s="156">
        <v>8.93</v>
      </c>
      <c r="G62" s="162">
        <f t="shared" si="11"/>
        <v>5.2299999999999995</v>
      </c>
      <c r="H62" s="164">
        <f t="shared" si="14"/>
        <v>241.35135135135135</v>
      </c>
      <c r="I62" s="165">
        <f t="shared" si="12"/>
        <v>-6.07</v>
      </c>
      <c r="J62" s="165">
        <f t="shared" si="15"/>
        <v>59.533333333333324</v>
      </c>
      <c r="K62" s="165">
        <v>3.8</v>
      </c>
      <c r="L62" s="165">
        <f t="shared" si="17"/>
        <v>5.13</v>
      </c>
      <c r="M62" s="218">
        <f t="shared" si="16"/>
        <v>2.35</v>
      </c>
      <c r="N62" s="164">
        <f>E62-лютий!E62</f>
        <v>1.2000000000000002</v>
      </c>
      <c r="O62" s="168">
        <f>F62-лютий!F62</f>
        <v>0.33000000000000007</v>
      </c>
      <c r="P62" s="167">
        <f t="shared" si="13"/>
        <v>-0.8700000000000001</v>
      </c>
      <c r="Q62" s="165">
        <f t="shared" si="10"/>
        <v>27.500000000000004</v>
      </c>
      <c r="R62" s="37"/>
      <c r="S62" s="94"/>
      <c r="T62" s="147">
        <f t="shared" si="8"/>
        <v>11.3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E63-лютий!E63</f>
        <v>0</v>
      </c>
      <c r="O63" s="168">
        <f>F63-лютий!F63</f>
        <v>0</v>
      </c>
      <c r="P63" s="167">
        <f t="shared" si="13"/>
        <v>0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298356.9</v>
      </c>
      <c r="F64" s="151">
        <f>F8+F38+F62+F63</f>
        <v>229898.24000000005</v>
      </c>
      <c r="G64" s="151">
        <f>F64-E64</f>
        <v>-68458.65999999997</v>
      </c>
      <c r="H64" s="152">
        <f>F64/E64*100</f>
        <v>77.05477567302785</v>
      </c>
      <c r="I64" s="153">
        <f>F64-D64</f>
        <v>-1127592.86</v>
      </c>
      <c r="J64" s="153">
        <f>F64/D64*100</f>
        <v>16.93552466016168</v>
      </c>
      <c r="K64" s="153">
        <v>145343.26</v>
      </c>
      <c r="L64" s="153">
        <f>F64-K64</f>
        <v>84554.98000000004</v>
      </c>
      <c r="M64" s="219">
        <f>F64/K64</f>
        <v>1.581760585251769</v>
      </c>
      <c r="N64" s="151">
        <f>N8+N38+N62+N63</f>
        <v>94334.8</v>
      </c>
      <c r="O64" s="151">
        <f>O8+O38+O62+O63</f>
        <v>26371.87000000001</v>
      </c>
      <c r="P64" s="155">
        <f>O64-N64</f>
        <v>-67962.93</v>
      </c>
      <c r="Q64" s="153">
        <f>O64/N64*100</f>
        <v>27.9556112908492</v>
      </c>
      <c r="R64" s="27">
        <f>O64-34768</f>
        <v>-8396.12999999999</v>
      </c>
      <c r="S64" s="115">
        <f>O64/34768</f>
        <v>0.7585098366313855</v>
      </c>
      <c r="T64" s="147">
        <f t="shared" si="8"/>
        <v>1059134.2000000002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61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0.08</v>
      </c>
      <c r="G73" s="162">
        <f aca="true" t="shared" si="18" ref="G73:G84">F73-E73</f>
        <v>0.08</v>
      </c>
      <c r="H73" s="164"/>
      <c r="I73" s="167">
        <f aca="true" t="shared" si="19" ref="I73:I84">F73-D73</f>
        <v>-104205.95</v>
      </c>
      <c r="J73" s="167">
        <f>F73/D73*100</f>
        <v>7.677098916444663E-05</v>
      </c>
      <c r="K73" s="167">
        <v>0.1</v>
      </c>
      <c r="L73" s="167">
        <f aca="true" t="shared" si="20" ref="L73:L84">F73-K73</f>
        <v>-0.020000000000000004</v>
      </c>
      <c r="M73" s="209">
        <f>F73/K73</f>
        <v>0.7999999999999999</v>
      </c>
      <c r="N73" s="164">
        <f>E73-лютий!E73</f>
        <v>0</v>
      </c>
      <c r="O73" s="168">
        <f>F73-лютий!F73</f>
        <v>0.009999999999999995</v>
      </c>
      <c r="P73" s="167">
        <f aca="true" t="shared" si="21" ref="P73:P86">O73-N73</f>
        <v>0.009999999999999995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4830</v>
      </c>
      <c r="F74" s="181">
        <v>58.34</v>
      </c>
      <c r="G74" s="162">
        <f t="shared" si="18"/>
        <v>-4771.66</v>
      </c>
      <c r="H74" s="164">
        <f>F74/E74*100</f>
        <v>1.2078674948240167</v>
      </c>
      <c r="I74" s="167">
        <f t="shared" si="19"/>
        <v>-53941.66</v>
      </c>
      <c r="J74" s="167">
        <f>F74/D74*100</f>
        <v>0.10803703703703704</v>
      </c>
      <c r="K74" s="167">
        <v>376.67</v>
      </c>
      <c r="L74" s="167">
        <f t="shared" si="20"/>
        <v>-318.33000000000004</v>
      </c>
      <c r="M74" s="209">
        <f>F74/K74</f>
        <v>0.1548835851010168</v>
      </c>
      <c r="N74" s="164">
        <f>E74-лютий!E74</f>
        <v>3600</v>
      </c>
      <c r="O74" s="168">
        <f>F74-лютий!F74</f>
        <v>10</v>
      </c>
      <c r="P74" s="167">
        <f t="shared" si="21"/>
        <v>-3590</v>
      </c>
      <c r="Q74" s="167">
        <f>O74/N74*100</f>
        <v>0.2777777777777778</v>
      </c>
      <c r="R74" s="38"/>
      <c r="S74" s="97"/>
      <c r="T74" s="147">
        <f aca="true" t="shared" si="22" ref="T74:T90">D74-E74</f>
        <v>49170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4650</v>
      </c>
      <c r="F75" s="181">
        <v>1103.59</v>
      </c>
      <c r="G75" s="162">
        <f t="shared" si="18"/>
        <v>-3546.41</v>
      </c>
      <c r="H75" s="164">
        <f>F75/E75*100</f>
        <v>23.73311827956989</v>
      </c>
      <c r="I75" s="167">
        <f t="shared" si="19"/>
        <v>-77896.41</v>
      </c>
      <c r="J75" s="167">
        <f>F75/D75*100</f>
        <v>1.3969493670886075</v>
      </c>
      <c r="K75" s="167">
        <v>646.84</v>
      </c>
      <c r="L75" s="167">
        <f t="shared" si="20"/>
        <v>456.7499999999999</v>
      </c>
      <c r="M75" s="209">
        <f>F75/K75</f>
        <v>1.7061251623276232</v>
      </c>
      <c r="N75" s="164">
        <f>E75-лютий!E75</f>
        <v>3850</v>
      </c>
      <c r="O75" s="168">
        <f>F75-лютий!F75</f>
        <v>1</v>
      </c>
      <c r="P75" s="167">
        <f t="shared" si="21"/>
        <v>-3849</v>
      </c>
      <c r="Q75" s="167">
        <f>O75/N75*100</f>
        <v>0.025974025974025976</v>
      </c>
      <c r="R75" s="38"/>
      <c r="S75" s="97"/>
      <c r="T75" s="147">
        <f t="shared" si="22"/>
        <v>74350</v>
      </c>
    </row>
    <row r="76" spans="2:20" ht="18">
      <c r="B76" s="23" t="s">
        <v>101</v>
      </c>
      <c r="C76" s="73">
        <v>24110700</v>
      </c>
      <c r="D76" s="180">
        <v>12</v>
      </c>
      <c r="E76" s="180">
        <v>3</v>
      </c>
      <c r="F76" s="181">
        <v>3</v>
      </c>
      <c r="G76" s="162">
        <f t="shared" si="18"/>
        <v>0</v>
      </c>
      <c r="H76" s="164">
        <f>F76/E76*100</f>
        <v>100</v>
      </c>
      <c r="I76" s="167">
        <f t="shared" si="19"/>
        <v>-9</v>
      </c>
      <c r="J76" s="167">
        <f>F76/D76*100</f>
        <v>25</v>
      </c>
      <c r="K76" s="167">
        <v>2</v>
      </c>
      <c r="L76" s="167">
        <f t="shared" si="20"/>
        <v>1</v>
      </c>
      <c r="M76" s="209"/>
      <c r="N76" s="164">
        <f>E76-лютий!E76</f>
        <v>1</v>
      </c>
      <c r="O76" s="168">
        <f>F76-лютий!F76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9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9483</v>
      </c>
      <c r="F77" s="184">
        <f>F73+F74+F75+F76</f>
        <v>1165.01</v>
      </c>
      <c r="G77" s="185">
        <f t="shared" si="18"/>
        <v>-8317.99</v>
      </c>
      <c r="H77" s="186">
        <f>F77/E77*100</f>
        <v>12.285247284614572</v>
      </c>
      <c r="I77" s="187">
        <f t="shared" si="19"/>
        <v>-236053.02</v>
      </c>
      <c r="J77" s="187">
        <f>F77/D77*100</f>
        <v>0.49111359705668245</v>
      </c>
      <c r="K77" s="187">
        <v>1025.62</v>
      </c>
      <c r="L77" s="187">
        <f t="shared" si="20"/>
        <v>139.3900000000001</v>
      </c>
      <c r="M77" s="214">
        <f>F77/K77</f>
        <v>1.1359080361147404</v>
      </c>
      <c r="N77" s="185">
        <f>N73+N74+N75+N76</f>
        <v>7451</v>
      </c>
      <c r="O77" s="189">
        <f>O73+O74+O75+O76</f>
        <v>12.01</v>
      </c>
      <c r="P77" s="187">
        <f t="shared" si="21"/>
        <v>-7438.99</v>
      </c>
      <c r="Q77" s="187">
        <f>O77/N77*100</f>
        <v>0.16118641793047914</v>
      </c>
      <c r="R77" s="39"/>
      <c r="S77" s="116"/>
      <c r="T77" s="147">
        <f t="shared" si="22"/>
        <v>227735.03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0.5</v>
      </c>
      <c r="F78" s="181">
        <v>8.78</v>
      </c>
      <c r="G78" s="162">
        <f t="shared" si="18"/>
        <v>8.28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E78-лютий!E78</f>
        <v>0.5</v>
      </c>
      <c r="O78" s="168">
        <f>F78-лютий!F78</f>
        <v>0</v>
      </c>
      <c r="P78" s="167">
        <f t="shared" si="21"/>
        <v>-0.5</v>
      </c>
      <c r="Q78" s="167"/>
      <c r="R78" s="38"/>
      <c r="S78" s="97"/>
      <c r="T78" s="147">
        <f t="shared" si="22"/>
        <v>39.5</v>
      </c>
    </row>
    <row r="79" spans="2:20" ht="18" hidden="1">
      <c r="B79" s="236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E79-лютий!E79</f>
        <v>0</v>
      </c>
      <c r="O79" s="168">
        <f>F79-лютий!F79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2356.3</v>
      </c>
      <c r="F80" s="181">
        <v>2217.23</v>
      </c>
      <c r="G80" s="162">
        <f t="shared" si="18"/>
        <v>-139.07000000000016</v>
      </c>
      <c r="H80" s="164">
        <f>F80/E80*100</f>
        <v>94.09795017612358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E80-лютий!E80</f>
        <v>6.300000000000182</v>
      </c>
      <c r="O80" s="168">
        <f>F80-лютий!F80</f>
        <v>0</v>
      </c>
      <c r="P80" s="167">
        <f>O80-N80</f>
        <v>-6.300000000000182</v>
      </c>
      <c r="Q80" s="190">
        <f>O80/N80*100</f>
        <v>0</v>
      </c>
      <c r="R80" s="41"/>
      <c r="S80" s="99"/>
      <c r="T80" s="147">
        <f t="shared" si="22"/>
        <v>6003.7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6">F81/K81</f>
        <v>0.022900763358778622</v>
      </c>
      <c r="N81" s="164">
        <f>E81-лютий!E81</f>
        <v>0</v>
      </c>
      <c r="O81" s="168">
        <f>F81-лютий!F81</f>
        <v>0</v>
      </c>
      <c r="P81" s="167">
        <f t="shared" si="21"/>
        <v>0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2356.8</v>
      </c>
      <c r="F82" s="184">
        <f>F78+F81+F79+F80</f>
        <v>2226.04</v>
      </c>
      <c r="G82" s="183">
        <f>G78+G81+G79+G80</f>
        <v>-130.76000000000016</v>
      </c>
      <c r="H82" s="186">
        <f>F82/E82*100</f>
        <v>94.45179904955872</v>
      </c>
      <c r="I82" s="187">
        <f t="shared" si="19"/>
        <v>-6173.96</v>
      </c>
      <c r="J82" s="187">
        <f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6.800000000000182</v>
      </c>
      <c r="O82" s="189">
        <f>O78+O81+O79+O80</f>
        <v>0</v>
      </c>
      <c r="P82" s="185">
        <f>P78+P81+P79+P80</f>
        <v>-6.800000000000182</v>
      </c>
      <c r="Q82" s="187">
        <f>O82/N82*100</f>
        <v>0</v>
      </c>
      <c r="R82" s="39"/>
      <c r="S82" s="96"/>
      <c r="T82" s="147">
        <f t="shared" si="22"/>
        <v>6043.2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12.9</v>
      </c>
      <c r="F83" s="181">
        <v>0.96</v>
      </c>
      <c r="G83" s="162">
        <f t="shared" si="18"/>
        <v>-11.940000000000001</v>
      </c>
      <c r="H83" s="164">
        <f>F83/E83*100</f>
        <v>7.441860465116279</v>
      </c>
      <c r="I83" s="167">
        <f t="shared" si="19"/>
        <v>-37.04</v>
      </c>
      <c r="J83" s="167">
        <f>F83/D83*100</f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E83-лютий!E83</f>
        <v>8</v>
      </c>
      <c r="O83" s="168">
        <f>F83-лютий!F83</f>
        <v>0</v>
      </c>
      <c r="P83" s="167">
        <f t="shared" si="21"/>
        <v>-8</v>
      </c>
      <c r="Q83" s="167">
        <f>O83/N83</f>
        <v>0</v>
      </c>
      <c r="R83" s="38"/>
      <c r="S83" s="97"/>
      <c r="T83" s="147">
        <f t="shared" si="22"/>
        <v>25.1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/>
      <c r="K84" s="167">
        <v>0</v>
      </c>
      <c r="L84" s="167">
        <f t="shared" si="20"/>
        <v>26.66</v>
      </c>
      <c r="M84" s="167"/>
      <c r="N84" s="164">
        <f>E84-лютий!E84</f>
        <v>0</v>
      </c>
      <c r="O84" s="168">
        <f>F84-лютий!F84</f>
        <v>0</v>
      </c>
      <c r="P84" s="167">
        <f t="shared" si="21"/>
        <v>0</v>
      </c>
      <c r="Q84" s="167"/>
      <c r="R84" s="38"/>
      <c r="S84" s="97"/>
      <c r="T84" s="147">
        <f t="shared" si="22"/>
        <v>0</v>
      </c>
    </row>
    <row r="85" spans="2:20" ht="23.25" customHeight="1">
      <c r="B85" s="14" t="s">
        <v>31</v>
      </c>
      <c r="C85" s="66"/>
      <c r="D85" s="191">
        <f>D71+D83+D77+D82</f>
        <v>245656.03</v>
      </c>
      <c r="E85" s="191">
        <f>E71+E83+E77+E82+E84</f>
        <v>11852.7</v>
      </c>
      <c r="F85" s="191">
        <f>F71+F83+F77+F82+F84</f>
        <v>3418.68</v>
      </c>
      <c r="G85" s="192">
        <f>F85-E85</f>
        <v>-8434.02</v>
      </c>
      <c r="H85" s="193">
        <f>F85/E85*100</f>
        <v>28.84304841934749</v>
      </c>
      <c r="I85" s="194">
        <f>F85-D85</f>
        <v>-242237.35</v>
      </c>
      <c r="J85" s="194">
        <f>F85/D85*100</f>
        <v>1.391653198987218</v>
      </c>
      <c r="K85" s="194">
        <v>3039.87</v>
      </c>
      <c r="L85" s="194">
        <f>F85-K85</f>
        <v>378.80999999999995</v>
      </c>
      <c r="M85" s="221">
        <f t="shared" si="23"/>
        <v>1.12461388151467</v>
      </c>
      <c r="N85" s="191">
        <f>N71+N83+N77+N82+N84</f>
        <v>7465.8</v>
      </c>
      <c r="O85" s="191">
        <f>O71+O83+O77+O82+O84</f>
        <v>12.01</v>
      </c>
      <c r="P85" s="194">
        <f t="shared" si="21"/>
        <v>-7453.79</v>
      </c>
      <c r="Q85" s="194">
        <f>O85/N85*100</f>
        <v>0.16086688633502103</v>
      </c>
      <c r="R85" s="27">
        <f>O85-8104.96</f>
        <v>-8092.95</v>
      </c>
      <c r="S85" s="95">
        <f>O85/8104.96</f>
        <v>0.0014818086702463676</v>
      </c>
      <c r="T85" s="147">
        <f t="shared" si="22"/>
        <v>233803.33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310209.60000000003</v>
      </c>
      <c r="F86" s="191">
        <f>F64+F85</f>
        <v>233316.92000000004</v>
      </c>
      <c r="G86" s="192">
        <f>F86-E86</f>
        <v>-76892.68</v>
      </c>
      <c r="H86" s="193">
        <f>F86/E86*100</f>
        <v>75.21266911146527</v>
      </c>
      <c r="I86" s="194">
        <f>F86-D86</f>
        <v>-1369830.21</v>
      </c>
      <c r="J86" s="194">
        <f>F86/D86*100</f>
        <v>14.553681046105856</v>
      </c>
      <c r="K86" s="194">
        <f>K64+K85</f>
        <v>148383.13</v>
      </c>
      <c r="L86" s="194">
        <f>F86-K86</f>
        <v>84933.79000000004</v>
      </c>
      <c r="M86" s="221">
        <f t="shared" si="23"/>
        <v>1.5723951907470886</v>
      </c>
      <c r="N86" s="192">
        <f>N64+N85</f>
        <v>101800.6</v>
      </c>
      <c r="O86" s="192">
        <f>O64+O85</f>
        <v>26383.88000000001</v>
      </c>
      <c r="P86" s="194">
        <f t="shared" si="21"/>
        <v>-75416.72</v>
      </c>
      <c r="Q86" s="194">
        <f>O86/N86*100</f>
        <v>25.91721463331258</v>
      </c>
      <c r="R86" s="27">
        <f>O86-42872.96</f>
        <v>-16489.07999999999</v>
      </c>
      <c r="S86" s="95">
        <f>O86/42872.96</f>
        <v>0.6153967442415921</v>
      </c>
      <c r="T86" s="147">
        <f t="shared" si="22"/>
        <v>1292937.53</v>
      </c>
    </row>
    <row r="87" spans="2:20" ht="15">
      <c r="B87" s="20" t="s">
        <v>34</v>
      </c>
      <c r="O87" s="25"/>
      <c r="T87" s="147">
        <f t="shared" si="22"/>
        <v>0</v>
      </c>
    </row>
    <row r="88" spans="2:20" ht="15">
      <c r="B88" s="4" t="s">
        <v>36</v>
      </c>
      <c r="C88" s="76">
        <v>15</v>
      </c>
      <c r="D88" s="4" t="s">
        <v>35</v>
      </c>
      <c r="O88" s="78"/>
      <c r="T88" s="147" t="e">
        <f t="shared" si="22"/>
        <v>#VALUE!</v>
      </c>
    </row>
    <row r="89" spans="2:20" ht="30.75">
      <c r="B89" s="52" t="s">
        <v>53</v>
      </c>
      <c r="C89" s="29">
        <f>IF(P64&lt;0,ABS(P64/C88),0)</f>
        <v>4530.861999999999</v>
      </c>
      <c r="D89" s="4" t="s">
        <v>24</v>
      </c>
      <c r="G89" s="288"/>
      <c r="H89" s="288"/>
      <c r="I89" s="288"/>
      <c r="J89" s="288"/>
      <c r="K89" s="84"/>
      <c r="L89" s="84"/>
      <c r="M89" s="84"/>
      <c r="Q89" s="25"/>
      <c r="R89" s="25"/>
      <c r="T89" s="147" t="e">
        <f t="shared" si="22"/>
        <v>#VALUE!</v>
      </c>
    </row>
    <row r="90" spans="2:20" ht="34.5" customHeight="1">
      <c r="B90" s="53" t="s">
        <v>55</v>
      </c>
      <c r="C90" s="81">
        <v>42801</v>
      </c>
      <c r="D90" s="29">
        <v>9271.6</v>
      </c>
      <c r="G90" s="4" t="s">
        <v>58</v>
      </c>
      <c r="O90" s="289"/>
      <c r="P90" s="289"/>
      <c r="T90" s="147">
        <f t="shared" si="22"/>
        <v>9271.6</v>
      </c>
    </row>
    <row r="91" spans="3:16" ht="15">
      <c r="C91" s="81">
        <v>42800</v>
      </c>
      <c r="D91" s="29">
        <v>4691.29</v>
      </c>
      <c r="F91" s="113" t="s">
        <v>58</v>
      </c>
      <c r="G91" s="290"/>
      <c r="H91" s="290"/>
      <c r="I91" s="118"/>
      <c r="J91" s="291"/>
      <c r="K91" s="291"/>
      <c r="L91" s="291"/>
      <c r="M91" s="291"/>
      <c r="N91" s="291"/>
      <c r="O91" s="289"/>
      <c r="P91" s="289"/>
    </row>
    <row r="92" spans="3:16" ht="15.75" customHeight="1">
      <c r="C92" s="81">
        <v>42797</v>
      </c>
      <c r="D92" s="29">
        <v>3141.68</v>
      </c>
      <c r="F92" s="68"/>
      <c r="G92" s="290"/>
      <c r="H92" s="290"/>
      <c r="I92" s="118"/>
      <c r="J92" s="292"/>
      <c r="K92" s="292"/>
      <c r="L92" s="292"/>
      <c r="M92" s="292"/>
      <c r="N92" s="292"/>
      <c r="O92" s="289"/>
      <c r="P92" s="289"/>
    </row>
    <row r="93" spans="3:14" ht="15.75" customHeight="1">
      <c r="C93" s="81"/>
      <c r="F93" s="68"/>
      <c r="G93" s="296"/>
      <c r="H93" s="296"/>
      <c r="I93" s="124"/>
      <c r="J93" s="291"/>
      <c r="K93" s="291"/>
      <c r="L93" s="291"/>
      <c r="M93" s="291"/>
      <c r="N93" s="291"/>
    </row>
    <row r="94" spans="2:14" ht="18.75" customHeight="1">
      <c r="B94" s="297" t="s">
        <v>56</v>
      </c>
      <c r="C94" s="298"/>
      <c r="D94" s="133">
        <v>10.048399999999999</v>
      </c>
      <c r="E94" s="69"/>
      <c r="F94" s="125" t="s">
        <v>107</v>
      </c>
      <c r="G94" s="290"/>
      <c r="H94" s="290"/>
      <c r="I94" s="126"/>
      <c r="J94" s="291"/>
      <c r="K94" s="291"/>
      <c r="L94" s="291"/>
      <c r="M94" s="291"/>
      <c r="N94" s="291"/>
    </row>
    <row r="95" spans="6:13" ht="9.75" customHeight="1">
      <c r="F95" s="68"/>
      <c r="G95" s="290"/>
      <c r="H95" s="290"/>
      <c r="I95" s="68"/>
      <c r="J95" s="69"/>
      <c r="K95" s="69"/>
      <c r="L95" s="69"/>
      <c r="M95" s="69"/>
    </row>
    <row r="96" spans="2:13" ht="22.5" customHeight="1" hidden="1">
      <c r="B96" s="293" t="s">
        <v>59</v>
      </c>
      <c r="C96" s="294"/>
      <c r="D96" s="80">
        <v>0</v>
      </c>
      <c r="E96" s="51" t="s">
        <v>24</v>
      </c>
      <c r="F96" s="68"/>
      <c r="G96" s="290"/>
      <c r="H96" s="29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258</v>
      </c>
      <c r="F97" s="203">
        <f>F45+F48+F49</f>
        <v>318.66</v>
      </c>
      <c r="G97" s="68">
        <f>G45+G48+G49</f>
        <v>60.660000000000004</v>
      </c>
      <c r="H97" s="69"/>
      <c r="I97" s="69"/>
      <c r="N97" s="29">
        <f>N45+N48+N49</f>
        <v>86</v>
      </c>
      <c r="O97" s="202">
        <f>O45+O48+O49</f>
        <v>35.83000000000002</v>
      </c>
      <c r="P97" s="29">
        <f>P45+P48+P49</f>
        <v>-50.16999999999998</v>
      </c>
    </row>
    <row r="98" spans="4:16" ht="15" hidden="1">
      <c r="D98" s="78"/>
      <c r="I98" s="29"/>
      <c r="O98" s="295"/>
      <c r="P98" s="29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285525.7</v>
      </c>
      <c r="F99" s="229">
        <f>F9+F15+F17+F18+F19+F20+F39+F42+F56+F62+F63</f>
        <v>217639.83000000005</v>
      </c>
      <c r="G99" s="29">
        <f>F99-E99</f>
        <v>-67885.86999999997</v>
      </c>
      <c r="H99" s="230">
        <f>F99/E99</f>
        <v>0.7622425231774234</v>
      </c>
      <c r="I99" s="29">
        <f>F99-D99</f>
        <v>-1081408.77</v>
      </c>
      <c r="J99" s="230">
        <f>F99/D99</f>
        <v>0.16753786578885504</v>
      </c>
      <c r="N99" s="29">
        <f>N9+N15+N17+N18+N19+N20+N39+N42+N44+N56+N62+N63</f>
        <v>89208.8</v>
      </c>
      <c r="O99" s="229">
        <f>O9+O15+O17+O18+O19+O20+O39+O42+O44+O56+O62+O63</f>
        <v>22792.22000000001</v>
      </c>
      <c r="P99" s="29">
        <f>O99-N99</f>
        <v>-66416.57999999999</v>
      </c>
      <c r="Q99" s="230">
        <f>O99/N99</f>
        <v>0.25549295585188914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12831.2</v>
      </c>
      <c r="F100" s="229">
        <f>F40+F41+F43+F45+F47+F48+F49+F50+F51+F57+F61+F44</f>
        <v>12258.41</v>
      </c>
      <c r="G100" s="29">
        <f>G40+G41+G43+G45+G47+G48+G49+G50+G51+G57+G61+G44</f>
        <v>-572.7899999999995</v>
      </c>
      <c r="H100" s="230">
        <f>F100/E100</f>
        <v>0.9553595922439054</v>
      </c>
      <c r="I100" s="29">
        <f>I40+I41+I43+I45+I47+I48+I49+I50+I51+I57+I61+I44</f>
        <v>-46184.090000000004</v>
      </c>
      <c r="J100" s="230">
        <f>F100/D100</f>
        <v>0.20975163622363863</v>
      </c>
      <c r="K100" s="29">
        <f aca="true" t="shared" si="24" ref="K100:P100">K40+K41+K43+K45+K47+K48+K49+K50+K51+K57+K61+K44</f>
        <v>4835.679999999999</v>
      </c>
      <c r="L100" s="29">
        <f t="shared" si="24"/>
        <v>7422.730000000001</v>
      </c>
      <c r="M100" s="29">
        <f t="shared" si="24"/>
        <v>35.7018987560681</v>
      </c>
      <c r="N100" s="29">
        <f t="shared" si="24"/>
        <v>5139.6</v>
      </c>
      <c r="O100" s="229">
        <f t="shared" si="24"/>
        <v>3579.6600000000003</v>
      </c>
      <c r="P100" s="29">
        <f t="shared" si="24"/>
        <v>-1546.3499999999992</v>
      </c>
      <c r="Q100" s="230">
        <f>O100/N100</f>
        <v>0.6964861078683167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5" ref="E101:P101">SUM(E99:E100)</f>
        <v>298356.9</v>
      </c>
      <c r="F101" s="229">
        <f t="shared" si="25"/>
        <v>229898.24000000005</v>
      </c>
      <c r="G101" s="29">
        <f t="shared" si="25"/>
        <v>-68458.65999999996</v>
      </c>
      <c r="H101" s="230">
        <f>F101/E101</f>
        <v>0.7705477567302785</v>
      </c>
      <c r="I101" s="29">
        <f t="shared" si="25"/>
        <v>-1127592.86</v>
      </c>
      <c r="J101" s="230">
        <f>F101/D101</f>
        <v>0.1693552466016168</v>
      </c>
      <c r="K101" s="29">
        <f t="shared" si="25"/>
        <v>4835.679999999999</v>
      </c>
      <c r="L101" s="29">
        <f t="shared" si="25"/>
        <v>7422.730000000001</v>
      </c>
      <c r="M101" s="29">
        <f t="shared" si="25"/>
        <v>35.7018987560681</v>
      </c>
      <c r="N101" s="29">
        <f t="shared" si="25"/>
        <v>94348.40000000001</v>
      </c>
      <c r="O101" s="229">
        <f t="shared" si="25"/>
        <v>26371.88000000001</v>
      </c>
      <c r="P101" s="29">
        <f t="shared" si="25"/>
        <v>-67962.93</v>
      </c>
      <c r="Q101" s="230">
        <f>O101/N101</f>
        <v>0.2795159218386322</v>
      </c>
    </row>
    <row r="102" spans="4:21" ht="15" hidden="1">
      <c r="D102" s="29">
        <f>D64-D101</f>
        <v>0</v>
      </c>
      <c r="E102" s="29">
        <f aca="true" t="shared" si="26" ref="E102:U102">E64-E101</f>
        <v>0</v>
      </c>
      <c r="F102" s="29">
        <f t="shared" si="26"/>
        <v>0</v>
      </c>
      <c r="G102" s="29">
        <f t="shared" si="26"/>
        <v>0</v>
      </c>
      <c r="H102" s="230"/>
      <c r="I102" s="29">
        <f t="shared" si="26"/>
        <v>0</v>
      </c>
      <c r="J102" s="230"/>
      <c r="K102" s="29">
        <f t="shared" si="26"/>
        <v>140507.58000000002</v>
      </c>
      <c r="L102" s="29">
        <f t="shared" si="26"/>
        <v>77132.25000000004</v>
      </c>
      <c r="M102" s="29">
        <f t="shared" si="26"/>
        <v>-34.120138170816325</v>
      </c>
      <c r="N102" s="29">
        <f t="shared" si="26"/>
        <v>-13.60000000000582</v>
      </c>
      <c r="O102" s="29">
        <f t="shared" si="26"/>
        <v>-0.00999999999839929</v>
      </c>
      <c r="P102" s="29">
        <f t="shared" si="26"/>
        <v>0</v>
      </c>
      <c r="Q102" s="29"/>
      <c r="R102" s="29">
        <f t="shared" si="26"/>
        <v>-8396.12999999999</v>
      </c>
      <c r="S102" s="29">
        <f t="shared" si="26"/>
        <v>0.7585098366313855</v>
      </c>
      <c r="T102" s="29">
        <f t="shared" si="26"/>
        <v>1059134.2000000002</v>
      </c>
      <c r="U102" s="29">
        <f t="shared" si="26"/>
        <v>0</v>
      </c>
    </row>
    <row r="103" ht="15">
      <c r="E103" s="4" t="s">
        <v>58</v>
      </c>
    </row>
    <row r="104" spans="2:5" ht="15" hidden="1">
      <c r="B104" s="260" t="s">
        <v>176</v>
      </c>
      <c r="E104" s="29">
        <f>E64-E9-E19-E26-E32</f>
        <v>18183.200000000026</v>
      </c>
    </row>
    <row r="105" spans="2:5" ht="15" hidden="1">
      <c r="B105" s="260" t="s">
        <v>177</v>
      </c>
      <c r="E105" s="29">
        <f>E85-E80-E73-E74</f>
        <v>4666.4000000000015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9" sqref="F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2" t="s">
        <v>152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86"/>
      <c r="S1" s="87"/>
    </row>
    <row r="2" spans="2:19" s="1" customFormat="1" ht="15.75" customHeight="1">
      <c r="B2" s="263"/>
      <c r="C2" s="263"/>
      <c r="D2" s="2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4"/>
      <c r="B3" s="266"/>
      <c r="C3" s="267" t="s">
        <v>0</v>
      </c>
      <c r="D3" s="268" t="s">
        <v>151</v>
      </c>
      <c r="E3" s="32"/>
      <c r="F3" s="269" t="s">
        <v>26</v>
      </c>
      <c r="G3" s="270"/>
      <c r="H3" s="270"/>
      <c r="I3" s="270"/>
      <c r="J3" s="271"/>
      <c r="K3" s="83"/>
      <c r="L3" s="83"/>
      <c r="M3" s="83"/>
      <c r="N3" s="272" t="s">
        <v>145</v>
      </c>
      <c r="O3" s="275" t="s">
        <v>149</v>
      </c>
      <c r="P3" s="275"/>
      <c r="Q3" s="275"/>
      <c r="R3" s="275"/>
      <c r="S3" s="275"/>
    </row>
    <row r="4" spans="1:19" ht="22.5" customHeight="1">
      <c r="A4" s="264"/>
      <c r="B4" s="266"/>
      <c r="C4" s="267"/>
      <c r="D4" s="268"/>
      <c r="E4" s="276" t="s">
        <v>150</v>
      </c>
      <c r="F4" s="278" t="s">
        <v>33</v>
      </c>
      <c r="G4" s="280" t="s">
        <v>146</v>
      </c>
      <c r="H4" s="273" t="s">
        <v>147</v>
      </c>
      <c r="I4" s="280" t="s">
        <v>138</v>
      </c>
      <c r="J4" s="273" t="s">
        <v>139</v>
      </c>
      <c r="K4" s="85" t="s">
        <v>141</v>
      </c>
      <c r="L4" s="204" t="s">
        <v>113</v>
      </c>
      <c r="M4" s="90" t="s">
        <v>63</v>
      </c>
      <c r="N4" s="273"/>
      <c r="O4" s="282" t="s">
        <v>153</v>
      </c>
      <c r="P4" s="280" t="s">
        <v>49</v>
      </c>
      <c r="Q4" s="284" t="s">
        <v>48</v>
      </c>
      <c r="R4" s="91" t="s">
        <v>64</v>
      </c>
      <c r="S4" s="92" t="s">
        <v>63</v>
      </c>
    </row>
    <row r="5" spans="1:19" ht="67.5" customHeight="1">
      <c r="A5" s="265"/>
      <c r="B5" s="266"/>
      <c r="C5" s="267"/>
      <c r="D5" s="268"/>
      <c r="E5" s="277"/>
      <c r="F5" s="279"/>
      <c r="G5" s="281"/>
      <c r="H5" s="274"/>
      <c r="I5" s="281"/>
      <c r="J5" s="274"/>
      <c r="K5" s="285" t="s">
        <v>148</v>
      </c>
      <c r="L5" s="286"/>
      <c r="M5" s="287"/>
      <c r="N5" s="274"/>
      <c r="O5" s="283"/>
      <c r="P5" s="281"/>
      <c r="Q5" s="284"/>
      <c r="R5" s="285" t="s">
        <v>102</v>
      </c>
      <c r="S5" s="2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8"/>
        <v>138.02999999999997</v>
      </c>
      <c r="M59" s="218">
        <f t="shared" si="17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9" ref="G73:G84">F73-E73</f>
        <v>0.07</v>
      </c>
      <c r="H73" s="164"/>
      <c r="I73" s="167">
        <f aca="true" t="shared" si="20" ref="I73:I84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1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2" ref="P73:P86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9"/>
        <v>26.66</v>
      </c>
      <c r="H84" s="164"/>
      <c r="I84" s="167">
        <f t="shared" si="20"/>
        <v>26.66</v>
      </c>
      <c r="J84" s="167"/>
      <c r="K84" s="167">
        <v>0</v>
      </c>
      <c r="L84" s="167">
        <f t="shared" si="21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2"/>
        <v>14.85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245656.03</v>
      </c>
      <c r="E85" s="191">
        <f>E71+E83+E77+E82+E84</f>
        <v>4386.9</v>
      </c>
      <c r="F85" s="191">
        <f>F71+F83+F77+F82+F84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N71+N83+N77+N82+N84</f>
        <v>3376</v>
      </c>
      <c r="O85" s="191">
        <f>O71+O83+O77+O82+O84</f>
        <v>3289.6299999999997</v>
      </c>
      <c r="P85" s="194">
        <f t="shared" si="22"/>
        <v>-86.37000000000035</v>
      </c>
      <c r="Q85" s="194">
        <f>O85/N85*100</f>
        <v>97.44164691943126</v>
      </c>
      <c r="R85" s="27">
        <f>O85-8104.96</f>
        <v>-4815.33</v>
      </c>
      <c r="S85" s="95">
        <f>O85/8104.96</f>
        <v>0.4058786224731522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88"/>
      <c r="H89" s="288"/>
      <c r="I89" s="288"/>
      <c r="J89" s="28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289"/>
      <c r="P90" s="289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0"/>
      <c r="H91" s="290"/>
      <c r="I91" s="118"/>
      <c r="J91" s="291"/>
      <c r="K91" s="291"/>
      <c r="L91" s="291"/>
      <c r="M91" s="291"/>
      <c r="N91" s="291"/>
      <c r="O91" s="289"/>
      <c r="P91" s="289"/>
    </row>
    <row r="92" spans="3:16" ht="15.75" customHeight="1">
      <c r="C92" s="81">
        <v>42790</v>
      </c>
      <c r="D92" s="29">
        <v>4206.9</v>
      </c>
      <c r="F92" s="68"/>
      <c r="G92" s="290"/>
      <c r="H92" s="290"/>
      <c r="I92" s="118"/>
      <c r="J92" s="292"/>
      <c r="K92" s="292"/>
      <c r="L92" s="292"/>
      <c r="M92" s="292"/>
      <c r="N92" s="292"/>
      <c r="O92" s="289"/>
      <c r="P92" s="289"/>
    </row>
    <row r="93" spans="3:14" ht="15.75" customHeight="1">
      <c r="C93" s="81"/>
      <c r="F93" s="68"/>
      <c r="G93" s="296"/>
      <c r="H93" s="296"/>
      <c r="I93" s="124"/>
      <c r="J93" s="291"/>
      <c r="K93" s="291"/>
      <c r="L93" s="291"/>
      <c r="M93" s="291"/>
      <c r="N93" s="291"/>
    </row>
    <row r="94" spans="2:14" ht="18.75" customHeight="1">
      <c r="B94" s="297" t="s">
        <v>56</v>
      </c>
      <c r="C94" s="298"/>
      <c r="D94" s="133">
        <v>7713.34596</v>
      </c>
      <c r="E94" s="69"/>
      <c r="F94" s="125" t="s">
        <v>107</v>
      </c>
      <c r="G94" s="290"/>
      <c r="H94" s="290"/>
      <c r="I94" s="126"/>
      <c r="J94" s="291"/>
      <c r="K94" s="291"/>
      <c r="L94" s="291"/>
      <c r="M94" s="291"/>
      <c r="N94" s="291"/>
    </row>
    <row r="95" spans="6:13" ht="9.75" customHeight="1">
      <c r="F95" s="68"/>
      <c r="G95" s="290"/>
      <c r="H95" s="290"/>
      <c r="I95" s="68"/>
      <c r="J95" s="69"/>
      <c r="K95" s="69"/>
      <c r="L95" s="69"/>
      <c r="M95" s="69"/>
    </row>
    <row r="96" spans="2:13" ht="22.5" customHeight="1" hidden="1">
      <c r="B96" s="293" t="s">
        <v>59</v>
      </c>
      <c r="C96" s="294"/>
      <c r="D96" s="80">
        <v>0</v>
      </c>
      <c r="E96" s="51" t="s">
        <v>24</v>
      </c>
      <c r="F96" s="68"/>
      <c r="G96" s="290"/>
      <c r="H96" s="29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5"/>
      <c r="P98" s="29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3" sqref="D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62" t="s">
        <v>144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86"/>
      <c r="S1" s="87"/>
    </row>
    <row r="2" spans="2:19" s="1" customFormat="1" ht="15.75" customHeight="1">
      <c r="B2" s="263"/>
      <c r="C2" s="263"/>
      <c r="D2" s="2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4"/>
      <c r="B3" s="266"/>
      <c r="C3" s="267" t="s">
        <v>0</v>
      </c>
      <c r="D3" s="268" t="s">
        <v>134</v>
      </c>
      <c r="E3" s="32"/>
      <c r="F3" s="269" t="s">
        <v>26</v>
      </c>
      <c r="G3" s="270"/>
      <c r="H3" s="270"/>
      <c r="I3" s="270"/>
      <c r="J3" s="271"/>
      <c r="K3" s="83"/>
      <c r="L3" s="83"/>
      <c r="M3" s="83"/>
      <c r="N3" s="272" t="s">
        <v>123</v>
      </c>
      <c r="O3" s="275" t="s">
        <v>118</v>
      </c>
      <c r="P3" s="275"/>
      <c r="Q3" s="275"/>
      <c r="R3" s="275"/>
      <c r="S3" s="275"/>
    </row>
    <row r="4" spans="1:19" ht="22.5" customHeight="1">
      <c r="A4" s="264"/>
      <c r="B4" s="266"/>
      <c r="C4" s="267"/>
      <c r="D4" s="268"/>
      <c r="E4" s="276" t="s">
        <v>135</v>
      </c>
      <c r="F4" s="278" t="s">
        <v>33</v>
      </c>
      <c r="G4" s="280" t="s">
        <v>136</v>
      </c>
      <c r="H4" s="273" t="s">
        <v>137</v>
      </c>
      <c r="I4" s="280" t="s">
        <v>138</v>
      </c>
      <c r="J4" s="273" t="s">
        <v>139</v>
      </c>
      <c r="K4" s="85" t="s">
        <v>141</v>
      </c>
      <c r="L4" s="204" t="s">
        <v>113</v>
      </c>
      <c r="M4" s="90" t="s">
        <v>63</v>
      </c>
      <c r="N4" s="273"/>
      <c r="O4" s="282" t="s">
        <v>124</v>
      </c>
      <c r="P4" s="280" t="s">
        <v>49</v>
      </c>
      <c r="Q4" s="284" t="s">
        <v>48</v>
      </c>
      <c r="R4" s="91" t="s">
        <v>64</v>
      </c>
      <c r="S4" s="92" t="s">
        <v>63</v>
      </c>
    </row>
    <row r="5" spans="1:19" ht="67.5" customHeight="1">
      <c r="A5" s="265"/>
      <c r="B5" s="266"/>
      <c r="C5" s="267"/>
      <c r="D5" s="268"/>
      <c r="E5" s="277"/>
      <c r="F5" s="279"/>
      <c r="G5" s="281"/>
      <c r="H5" s="274"/>
      <c r="I5" s="281"/>
      <c r="J5" s="274"/>
      <c r="K5" s="285" t="s">
        <v>142</v>
      </c>
      <c r="L5" s="286"/>
      <c r="M5" s="287"/>
      <c r="N5" s="274"/>
      <c r="O5" s="283"/>
      <c r="P5" s="281"/>
      <c r="Q5" s="284"/>
      <c r="R5" s="285" t="s">
        <v>102</v>
      </c>
      <c r="S5" s="2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288"/>
      <c r="H89" s="288"/>
      <c r="I89" s="288"/>
      <c r="J89" s="28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289"/>
      <c r="P90" s="289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0"/>
      <c r="H91" s="290"/>
      <c r="I91" s="118"/>
      <c r="J91" s="291"/>
      <c r="K91" s="291"/>
      <c r="L91" s="291"/>
      <c r="M91" s="291"/>
      <c r="N91" s="291"/>
      <c r="O91" s="289"/>
      <c r="P91" s="289"/>
    </row>
    <row r="92" spans="3:16" ht="15.75" customHeight="1">
      <c r="C92" s="81">
        <v>42762</v>
      </c>
      <c r="D92" s="29">
        <v>8862.4</v>
      </c>
      <c r="F92" s="68"/>
      <c r="G92" s="290"/>
      <c r="H92" s="290"/>
      <c r="I92" s="118"/>
      <c r="J92" s="292"/>
      <c r="K92" s="292"/>
      <c r="L92" s="292"/>
      <c r="M92" s="292"/>
      <c r="N92" s="292"/>
      <c r="O92" s="289"/>
      <c r="P92" s="289"/>
    </row>
    <row r="93" spans="3:14" ht="15.75" customHeight="1">
      <c r="C93" s="81"/>
      <c r="F93" s="68"/>
      <c r="G93" s="296"/>
      <c r="H93" s="296"/>
      <c r="I93" s="124"/>
      <c r="J93" s="291"/>
      <c r="K93" s="291"/>
      <c r="L93" s="291"/>
      <c r="M93" s="291"/>
      <c r="N93" s="291"/>
    </row>
    <row r="94" spans="2:14" ht="18.75" customHeight="1">
      <c r="B94" s="297" t="s">
        <v>56</v>
      </c>
      <c r="C94" s="298"/>
      <c r="D94" s="133">
        <f>9505303.41/1000</f>
        <v>9505.30341</v>
      </c>
      <c r="E94" s="69"/>
      <c r="F94" s="125" t="s">
        <v>107</v>
      </c>
      <c r="G94" s="290"/>
      <c r="H94" s="290"/>
      <c r="I94" s="126"/>
      <c r="J94" s="291"/>
      <c r="K94" s="291"/>
      <c r="L94" s="291"/>
      <c r="M94" s="291"/>
      <c r="N94" s="291"/>
    </row>
    <row r="95" spans="6:13" ht="9.75" customHeight="1">
      <c r="F95" s="68"/>
      <c r="G95" s="290"/>
      <c r="H95" s="290"/>
      <c r="I95" s="68"/>
      <c r="J95" s="69"/>
      <c r="K95" s="69"/>
      <c r="L95" s="69"/>
      <c r="M95" s="69"/>
    </row>
    <row r="96" spans="2:13" ht="22.5" customHeight="1" hidden="1">
      <c r="B96" s="293" t="s">
        <v>59</v>
      </c>
      <c r="C96" s="294"/>
      <c r="D96" s="80">
        <v>0</v>
      </c>
      <c r="E96" s="51" t="s">
        <v>24</v>
      </c>
      <c r="F96" s="68"/>
      <c r="G96" s="290"/>
      <c r="H96" s="29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5"/>
      <c r="P98" s="29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62" t="s">
        <v>132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86"/>
      <c r="S1" s="87"/>
    </row>
    <row r="2" spans="2:19" s="1" customFormat="1" ht="15.75" customHeight="1">
      <c r="B2" s="263"/>
      <c r="C2" s="263"/>
      <c r="D2" s="2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4"/>
      <c r="B3" s="266"/>
      <c r="C3" s="267" t="s">
        <v>0</v>
      </c>
      <c r="D3" s="268" t="s">
        <v>126</v>
      </c>
      <c r="E3" s="32"/>
      <c r="F3" s="269" t="s">
        <v>26</v>
      </c>
      <c r="G3" s="270"/>
      <c r="H3" s="270"/>
      <c r="I3" s="270"/>
      <c r="J3" s="271"/>
      <c r="K3" s="83"/>
      <c r="L3" s="83"/>
      <c r="M3" s="83"/>
      <c r="N3" s="272" t="s">
        <v>129</v>
      </c>
      <c r="O3" s="275" t="s">
        <v>125</v>
      </c>
      <c r="P3" s="275"/>
      <c r="Q3" s="275"/>
      <c r="R3" s="275"/>
      <c r="S3" s="275"/>
    </row>
    <row r="4" spans="1:19" ht="22.5" customHeight="1">
      <c r="A4" s="264"/>
      <c r="B4" s="266"/>
      <c r="C4" s="267"/>
      <c r="D4" s="268"/>
      <c r="E4" s="276" t="s">
        <v>127</v>
      </c>
      <c r="F4" s="278" t="s">
        <v>33</v>
      </c>
      <c r="G4" s="280" t="s">
        <v>128</v>
      </c>
      <c r="H4" s="273" t="s">
        <v>122</v>
      </c>
      <c r="I4" s="280" t="s">
        <v>103</v>
      </c>
      <c r="J4" s="273" t="s">
        <v>104</v>
      </c>
      <c r="K4" s="85" t="s">
        <v>114</v>
      </c>
      <c r="L4" s="204" t="s">
        <v>113</v>
      </c>
      <c r="M4" s="90" t="s">
        <v>63</v>
      </c>
      <c r="N4" s="273"/>
      <c r="O4" s="282" t="s">
        <v>133</v>
      </c>
      <c r="P4" s="280" t="s">
        <v>49</v>
      </c>
      <c r="Q4" s="284" t="s">
        <v>48</v>
      </c>
      <c r="R4" s="91" t="s">
        <v>64</v>
      </c>
      <c r="S4" s="92" t="s">
        <v>63</v>
      </c>
    </row>
    <row r="5" spans="1:19" ht="67.5" customHeight="1">
      <c r="A5" s="265"/>
      <c r="B5" s="266"/>
      <c r="C5" s="267"/>
      <c r="D5" s="268"/>
      <c r="E5" s="277"/>
      <c r="F5" s="279"/>
      <c r="G5" s="281"/>
      <c r="H5" s="274"/>
      <c r="I5" s="281"/>
      <c r="J5" s="274"/>
      <c r="K5" s="285" t="s">
        <v>130</v>
      </c>
      <c r="L5" s="286"/>
      <c r="M5" s="287"/>
      <c r="N5" s="274"/>
      <c r="O5" s="283"/>
      <c r="P5" s="281"/>
      <c r="Q5" s="284"/>
      <c r="R5" s="285" t="s">
        <v>102</v>
      </c>
      <c r="S5" s="2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88"/>
      <c r="H89" s="288"/>
      <c r="I89" s="288"/>
      <c r="J89" s="288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89"/>
      <c r="P90" s="289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0"/>
      <c r="H91" s="290"/>
      <c r="I91" s="118"/>
      <c r="J91" s="291"/>
      <c r="K91" s="291"/>
      <c r="L91" s="291"/>
      <c r="M91" s="291"/>
      <c r="N91" s="291"/>
      <c r="O91" s="289"/>
      <c r="P91" s="289"/>
    </row>
    <row r="92" spans="3:16" ht="15.75" customHeight="1">
      <c r="C92" s="81">
        <v>42732</v>
      </c>
      <c r="D92" s="29">
        <v>19085.6</v>
      </c>
      <c r="F92" s="68"/>
      <c r="G92" s="290"/>
      <c r="H92" s="290"/>
      <c r="I92" s="118"/>
      <c r="J92" s="292"/>
      <c r="K92" s="292"/>
      <c r="L92" s="292"/>
      <c r="M92" s="292"/>
      <c r="N92" s="292"/>
      <c r="O92" s="289"/>
      <c r="P92" s="289"/>
    </row>
    <row r="93" spans="3:14" ht="15.75" customHeight="1">
      <c r="C93" s="81"/>
      <c r="F93" s="68"/>
      <c r="G93" s="296"/>
      <c r="H93" s="296"/>
      <c r="I93" s="124"/>
      <c r="J93" s="291"/>
      <c r="K93" s="291"/>
      <c r="L93" s="291"/>
      <c r="M93" s="291"/>
      <c r="N93" s="291"/>
    </row>
    <row r="94" spans="2:14" ht="18.75" customHeight="1">
      <c r="B94" s="297" t="s">
        <v>56</v>
      </c>
      <c r="C94" s="298"/>
      <c r="D94" s="133">
        <f>'[1]залишки  (2)'!$G$6/1000</f>
        <v>10.048399999999999</v>
      </c>
      <c r="E94" s="69"/>
      <c r="F94" s="125" t="s">
        <v>107</v>
      </c>
      <c r="G94" s="290"/>
      <c r="H94" s="290"/>
      <c r="I94" s="126"/>
      <c r="J94" s="291"/>
      <c r="K94" s="291"/>
      <c r="L94" s="291"/>
      <c r="M94" s="291"/>
      <c r="N94" s="291"/>
    </row>
    <row r="95" spans="6:13" ht="9" customHeight="1">
      <c r="F95" s="68"/>
      <c r="G95" s="290"/>
      <c r="H95" s="290"/>
      <c r="I95" s="68"/>
      <c r="J95" s="69"/>
      <c r="K95" s="69"/>
      <c r="L95" s="69"/>
      <c r="M95" s="69"/>
    </row>
    <row r="96" spans="2:13" ht="22.5" customHeight="1" hidden="1">
      <c r="B96" s="293" t="s">
        <v>59</v>
      </c>
      <c r="C96" s="294"/>
      <c r="D96" s="80">
        <v>0</v>
      </c>
      <c r="E96" s="51" t="s">
        <v>24</v>
      </c>
      <c r="F96" s="68"/>
      <c r="G96" s="290"/>
      <c r="H96" s="290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5"/>
      <c r="P98" s="29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08" sqref="C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255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2" t="s">
        <v>152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86"/>
      <c r="S1" s="87"/>
    </row>
    <row r="2" spans="2:19" s="1" customFormat="1" ht="15.75" customHeight="1">
      <c r="B2" s="263"/>
      <c r="C2" s="263"/>
      <c r="D2" s="263"/>
      <c r="E2" s="2"/>
      <c r="F2" s="250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4"/>
      <c r="B3" s="266"/>
      <c r="C3" s="267" t="s">
        <v>0</v>
      </c>
      <c r="D3" s="268" t="s">
        <v>151</v>
      </c>
      <c r="E3" s="32"/>
      <c r="F3" s="269" t="s">
        <v>26</v>
      </c>
      <c r="G3" s="270"/>
      <c r="H3" s="270"/>
      <c r="I3" s="270"/>
      <c r="J3" s="271"/>
      <c r="K3" s="83"/>
      <c r="L3" s="83"/>
      <c r="M3" s="83"/>
      <c r="N3" s="272" t="s">
        <v>145</v>
      </c>
      <c r="O3" s="275" t="s">
        <v>149</v>
      </c>
      <c r="P3" s="275"/>
      <c r="Q3" s="275"/>
      <c r="R3" s="275"/>
      <c r="S3" s="275"/>
    </row>
    <row r="4" spans="1:19" ht="22.5" customHeight="1">
      <c r="A4" s="264"/>
      <c r="B4" s="266"/>
      <c r="C4" s="267"/>
      <c r="D4" s="268"/>
      <c r="E4" s="276" t="s">
        <v>150</v>
      </c>
      <c r="F4" s="278" t="s">
        <v>33</v>
      </c>
      <c r="G4" s="280" t="s">
        <v>146</v>
      </c>
      <c r="H4" s="273" t="s">
        <v>147</v>
      </c>
      <c r="I4" s="280" t="s">
        <v>138</v>
      </c>
      <c r="J4" s="273" t="s">
        <v>139</v>
      </c>
      <c r="K4" s="85" t="s">
        <v>141</v>
      </c>
      <c r="L4" s="204" t="s">
        <v>113</v>
      </c>
      <c r="M4" s="90" t="s">
        <v>63</v>
      </c>
      <c r="N4" s="273"/>
      <c r="O4" s="282" t="s">
        <v>153</v>
      </c>
      <c r="P4" s="280" t="s">
        <v>49</v>
      </c>
      <c r="Q4" s="284" t="s">
        <v>48</v>
      </c>
      <c r="R4" s="91" t="s">
        <v>64</v>
      </c>
      <c r="S4" s="92" t="s">
        <v>63</v>
      </c>
    </row>
    <row r="5" spans="1:19" ht="67.5" customHeight="1">
      <c r="A5" s="265"/>
      <c r="B5" s="266"/>
      <c r="C5" s="267"/>
      <c r="D5" s="268"/>
      <c r="E5" s="277"/>
      <c r="F5" s="279"/>
      <c r="G5" s="281"/>
      <c r="H5" s="274"/>
      <c r="I5" s="281"/>
      <c r="J5" s="274"/>
      <c r="K5" s="285" t="s">
        <v>148</v>
      </c>
      <c r="L5" s="286"/>
      <c r="M5" s="287"/>
      <c r="N5" s="274"/>
      <c r="O5" s="283"/>
      <c r="P5" s="281"/>
      <c r="Q5" s="284"/>
      <c r="R5" s="285" t="s">
        <v>102</v>
      </c>
      <c r="S5" s="2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2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170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63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252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2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2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253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253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254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</f>
        <v>4000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-3999.93</v>
      </c>
      <c r="J73" s="167">
        <f>F73/D73*100</f>
        <v>0.0017500000000000003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4000</v>
      </c>
      <c r="U73" s="4">
        <v>0</v>
      </c>
    </row>
    <row r="74" spans="2:20" ht="18">
      <c r="B74" s="23" t="s">
        <v>30</v>
      </c>
      <c r="C74" s="73">
        <v>33010000</v>
      </c>
      <c r="D74" s="180">
        <v>16379.5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-16331.16</v>
      </c>
      <c r="J74" s="167">
        <f>F74/D74*100</f>
        <v>0.2951250038157453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15149.5</v>
      </c>
    </row>
    <row r="75" spans="2:20" ht="31.5">
      <c r="B75" s="23" t="s">
        <v>54</v>
      </c>
      <c r="C75" s="73">
        <v>24170000</v>
      </c>
      <c r="D75" s="180">
        <v>10429.2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-9326.61</v>
      </c>
      <c r="J75" s="167">
        <f>F75/D75*100</f>
        <v>10.572143596824299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9629.2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30820.7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-29667.7</v>
      </c>
      <c r="J77" s="187">
        <f>F77/D77*100</f>
        <v>3.7409922552051054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28788.7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111666.9</v>
      </c>
      <c r="E86" s="191">
        <f>E71+E83+E77+E82+E85</f>
        <v>16454.9</v>
      </c>
      <c r="F86" s="184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-95444.82999999999</v>
      </c>
      <c r="J86" s="194">
        <f t="shared" si="24"/>
        <v>14.52719651033565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95212</v>
      </c>
    </row>
    <row r="87" spans="2:20" ht="17.25">
      <c r="B87" s="21" t="s">
        <v>32</v>
      </c>
      <c r="C87" s="66"/>
      <c r="D87" s="191">
        <f>D64+D86</f>
        <v>1469158</v>
      </c>
      <c r="E87" s="191">
        <f>E64+E86</f>
        <v>220477</v>
      </c>
      <c r="F87" s="184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-1249409.56</v>
      </c>
      <c r="J87" s="194">
        <f t="shared" si="24"/>
        <v>14.95744092874967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1248681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288"/>
      <c r="H90" s="288"/>
      <c r="I90" s="288"/>
      <c r="J90" s="288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289"/>
      <c r="P91" s="289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255" t="s">
        <v>58</v>
      </c>
      <c r="G92" s="290"/>
      <c r="H92" s="290"/>
      <c r="I92" s="118"/>
      <c r="J92" s="291"/>
      <c r="K92" s="291"/>
      <c r="L92" s="291"/>
      <c r="M92" s="291"/>
      <c r="N92" s="291"/>
      <c r="O92" s="289"/>
      <c r="P92" s="289"/>
    </row>
    <row r="93" spans="3:16" ht="15.75" customHeight="1" hidden="1">
      <c r="C93" s="81">
        <v>42790</v>
      </c>
      <c r="D93" s="29">
        <v>4206.9</v>
      </c>
      <c r="F93" s="256"/>
      <c r="G93" s="290"/>
      <c r="H93" s="290"/>
      <c r="I93" s="118"/>
      <c r="J93" s="292"/>
      <c r="K93" s="292"/>
      <c r="L93" s="292"/>
      <c r="M93" s="292"/>
      <c r="N93" s="292"/>
      <c r="O93" s="289"/>
      <c r="P93" s="289"/>
    </row>
    <row r="94" spans="3:14" ht="15.75" customHeight="1" hidden="1">
      <c r="C94" s="81"/>
      <c r="F94" s="256"/>
      <c r="G94" s="296"/>
      <c r="H94" s="296"/>
      <c r="I94" s="124"/>
      <c r="J94" s="291"/>
      <c r="K94" s="291"/>
      <c r="L94" s="291"/>
      <c r="M94" s="291"/>
      <c r="N94" s="291"/>
    </row>
    <row r="95" spans="2:14" ht="18.75" customHeight="1" hidden="1">
      <c r="B95" s="297" t="s">
        <v>56</v>
      </c>
      <c r="C95" s="298"/>
      <c r="D95" s="133">
        <v>7713.34596</v>
      </c>
      <c r="E95" s="69"/>
      <c r="F95" s="257" t="s">
        <v>107</v>
      </c>
      <c r="G95" s="290"/>
      <c r="H95" s="290"/>
      <c r="I95" s="126"/>
      <c r="J95" s="291"/>
      <c r="K95" s="291"/>
      <c r="L95" s="291"/>
      <c r="M95" s="291"/>
      <c r="N95" s="291"/>
    </row>
    <row r="96" spans="6:13" ht="9.75" customHeight="1" hidden="1">
      <c r="F96" s="256"/>
      <c r="G96" s="290"/>
      <c r="H96" s="290"/>
      <c r="I96" s="68"/>
      <c r="J96" s="69"/>
      <c r="K96" s="69"/>
      <c r="L96" s="69"/>
      <c r="M96" s="69"/>
    </row>
    <row r="97" spans="2:13" ht="22.5" customHeight="1" hidden="1">
      <c r="B97" s="293" t="s">
        <v>59</v>
      </c>
      <c r="C97" s="294"/>
      <c r="D97" s="80">
        <v>0</v>
      </c>
      <c r="E97" s="51" t="s">
        <v>24</v>
      </c>
      <c r="F97" s="256"/>
      <c r="G97" s="290"/>
      <c r="H97" s="290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56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295"/>
      <c r="P99" s="295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55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55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55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55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5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5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5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.75">
      <c r="B107" s="240" t="s">
        <v>167</v>
      </c>
      <c r="C107" s="239">
        <v>41030600</v>
      </c>
      <c r="D107" s="248">
        <v>311813.4</v>
      </c>
      <c r="E107" s="248">
        <v>50035.4</v>
      </c>
      <c r="F107" s="25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.75">
      <c r="B108" s="240" t="s">
        <v>168</v>
      </c>
      <c r="C108" s="239">
        <v>41030800</v>
      </c>
      <c r="D108" s="248">
        <v>408648.2</v>
      </c>
      <c r="E108" s="248">
        <v>264243.41127</v>
      </c>
      <c r="F108" s="25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.75">
      <c r="B109" s="240" t="s">
        <v>169</v>
      </c>
      <c r="C109" s="239">
        <v>41031000</v>
      </c>
      <c r="D109" s="248">
        <v>227.7</v>
      </c>
      <c r="E109" s="248">
        <v>38</v>
      </c>
      <c r="F109" s="25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6.25">
      <c r="B110" s="240" t="s">
        <v>170</v>
      </c>
      <c r="C110" s="239">
        <v>41033900</v>
      </c>
      <c r="D110" s="248">
        <v>243334.5</v>
      </c>
      <c r="E110" s="248">
        <v>37454.8</v>
      </c>
      <c r="F110" s="25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6.25">
      <c r="B111" s="240" t="s">
        <v>171</v>
      </c>
      <c r="C111" s="239">
        <v>41034200</v>
      </c>
      <c r="D111" s="248">
        <v>238249.5</v>
      </c>
      <c r="E111" s="248">
        <v>39685.1</v>
      </c>
      <c r="F111" s="25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5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.75">
      <c r="B113" s="240" t="s">
        <v>172</v>
      </c>
      <c r="C113" s="239">
        <v>41035800</v>
      </c>
      <c r="D113" s="248">
        <v>4356.3</v>
      </c>
      <c r="E113" s="248">
        <v>583.7</v>
      </c>
      <c r="F113" s="25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18">
      <c r="B114" s="247" t="s">
        <v>166</v>
      </c>
      <c r="C114" s="243"/>
      <c r="D114" s="245">
        <f>D104+D87</f>
        <v>2692026.688</v>
      </c>
      <c r="E114" s="245">
        <f>E104+E87</f>
        <v>615169.2812699999</v>
      </c>
      <c r="F114" s="259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-2081913.08154</v>
      </c>
      <c r="J114" s="246">
        <f t="shared" si="31"/>
        <v>22.66372800758802</v>
      </c>
      <c r="Q114" s="244"/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0:J90"/>
    <mergeCell ref="O91:P91"/>
    <mergeCell ref="G92:H92"/>
    <mergeCell ref="J92:N92"/>
    <mergeCell ref="O92:P92"/>
    <mergeCell ref="G93:H93"/>
    <mergeCell ref="J93:N93"/>
    <mergeCell ref="O93:P93"/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8" sqref="B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2" t="s">
        <v>152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86"/>
      <c r="S1" s="87"/>
    </row>
    <row r="2" spans="2:19" s="1" customFormat="1" ht="15.75" customHeight="1">
      <c r="B2" s="263"/>
      <c r="C2" s="263"/>
      <c r="D2" s="2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64"/>
      <c r="B3" s="266"/>
      <c r="C3" s="267" t="s">
        <v>0</v>
      </c>
      <c r="D3" s="268" t="s">
        <v>151</v>
      </c>
      <c r="E3" s="32"/>
      <c r="F3" s="269" t="s">
        <v>26</v>
      </c>
      <c r="G3" s="270"/>
      <c r="H3" s="270"/>
      <c r="I3" s="270"/>
      <c r="J3" s="271"/>
      <c r="K3" s="83"/>
      <c r="L3" s="83"/>
      <c r="M3" s="83"/>
      <c r="N3" s="272" t="s">
        <v>145</v>
      </c>
      <c r="O3" s="275" t="s">
        <v>149</v>
      </c>
      <c r="P3" s="275"/>
      <c r="Q3" s="275"/>
      <c r="R3" s="275"/>
      <c r="S3" s="275"/>
    </row>
    <row r="4" spans="1:19" ht="22.5" customHeight="1">
      <c r="A4" s="264"/>
      <c r="B4" s="266"/>
      <c r="C4" s="267"/>
      <c r="D4" s="268"/>
      <c r="E4" s="276" t="s">
        <v>150</v>
      </c>
      <c r="F4" s="278" t="s">
        <v>33</v>
      </c>
      <c r="G4" s="280" t="s">
        <v>146</v>
      </c>
      <c r="H4" s="273" t="s">
        <v>147</v>
      </c>
      <c r="I4" s="280" t="s">
        <v>138</v>
      </c>
      <c r="J4" s="273" t="s">
        <v>139</v>
      </c>
      <c r="K4" s="85" t="s">
        <v>141</v>
      </c>
      <c r="L4" s="204" t="s">
        <v>113</v>
      </c>
      <c r="M4" s="90" t="s">
        <v>63</v>
      </c>
      <c r="N4" s="273"/>
      <c r="O4" s="282" t="s">
        <v>153</v>
      </c>
      <c r="P4" s="280" t="s">
        <v>49</v>
      </c>
      <c r="Q4" s="284" t="s">
        <v>48</v>
      </c>
      <c r="R4" s="91" t="s">
        <v>64</v>
      </c>
      <c r="S4" s="92" t="s">
        <v>63</v>
      </c>
    </row>
    <row r="5" spans="1:19" ht="67.5" customHeight="1">
      <c r="A5" s="265"/>
      <c r="B5" s="266"/>
      <c r="C5" s="267"/>
      <c r="D5" s="268"/>
      <c r="E5" s="277"/>
      <c r="F5" s="279"/>
      <c r="G5" s="281"/>
      <c r="H5" s="274"/>
      <c r="I5" s="281"/>
      <c r="J5" s="274"/>
      <c r="K5" s="285" t="s">
        <v>148</v>
      </c>
      <c r="L5" s="286"/>
      <c r="M5" s="287"/>
      <c r="N5" s="274"/>
      <c r="O5" s="283"/>
      <c r="P5" s="281"/>
      <c r="Q5" s="284"/>
      <c r="R5" s="285" t="s">
        <v>102</v>
      </c>
      <c r="S5" s="2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288"/>
      <c r="H90" s="288"/>
      <c r="I90" s="288"/>
      <c r="J90" s="288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289"/>
      <c r="P91" s="289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290"/>
      <c r="H92" s="290"/>
      <c r="I92" s="118"/>
      <c r="J92" s="291"/>
      <c r="K92" s="291"/>
      <c r="L92" s="291"/>
      <c r="M92" s="291"/>
      <c r="N92" s="291"/>
      <c r="O92" s="289"/>
      <c r="P92" s="289"/>
    </row>
    <row r="93" spans="3:16" ht="15.75" customHeight="1" hidden="1">
      <c r="C93" s="81">
        <v>42790</v>
      </c>
      <c r="D93" s="29">
        <v>4206.9</v>
      </c>
      <c r="F93" s="68"/>
      <c r="G93" s="290"/>
      <c r="H93" s="290"/>
      <c r="I93" s="118"/>
      <c r="J93" s="292"/>
      <c r="K93" s="292"/>
      <c r="L93" s="292"/>
      <c r="M93" s="292"/>
      <c r="N93" s="292"/>
      <c r="O93" s="289"/>
      <c r="P93" s="289"/>
    </row>
    <row r="94" spans="3:14" ht="15.75" customHeight="1" hidden="1">
      <c r="C94" s="81"/>
      <c r="F94" s="68"/>
      <c r="G94" s="296"/>
      <c r="H94" s="296"/>
      <c r="I94" s="124"/>
      <c r="J94" s="291"/>
      <c r="K94" s="291"/>
      <c r="L94" s="291"/>
      <c r="M94" s="291"/>
      <c r="N94" s="291"/>
    </row>
    <row r="95" spans="2:14" ht="18.75" customHeight="1" hidden="1">
      <c r="B95" s="297" t="s">
        <v>56</v>
      </c>
      <c r="C95" s="298"/>
      <c r="D95" s="133">
        <v>7713.34596</v>
      </c>
      <c r="E95" s="69"/>
      <c r="F95" s="125" t="s">
        <v>107</v>
      </c>
      <c r="G95" s="290"/>
      <c r="H95" s="290"/>
      <c r="I95" s="126"/>
      <c r="J95" s="291"/>
      <c r="K95" s="291"/>
      <c r="L95" s="291"/>
      <c r="M95" s="291"/>
      <c r="N95" s="291"/>
    </row>
    <row r="96" spans="6:13" ht="9.75" customHeight="1" hidden="1">
      <c r="F96" s="68"/>
      <c r="G96" s="290"/>
      <c r="H96" s="290"/>
      <c r="I96" s="68"/>
      <c r="J96" s="69"/>
      <c r="K96" s="69"/>
      <c r="L96" s="69"/>
      <c r="M96" s="69"/>
    </row>
    <row r="97" spans="2:13" ht="22.5" customHeight="1" hidden="1">
      <c r="B97" s="293" t="s">
        <v>59</v>
      </c>
      <c r="C97" s="294"/>
      <c r="D97" s="80">
        <v>0</v>
      </c>
      <c r="E97" s="51" t="s">
        <v>24</v>
      </c>
      <c r="F97" s="68"/>
      <c r="G97" s="290"/>
      <c r="H97" s="290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295"/>
      <c r="P99" s="295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0:J90"/>
    <mergeCell ref="O91:P91"/>
    <mergeCell ref="G92:H92"/>
    <mergeCell ref="J92:N92"/>
    <mergeCell ref="O92:P92"/>
    <mergeCell ref="G93:H93"/>
    <mergeCell ref="J93:N93"/>
    <mergeCell ref="O93:P93"/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2017-03-07T08:36:30Z</cp:lastPrinted>
  <dcterms:created xsi:type="dcterms:W3CDTF">2003-07-28T11:27:56Z</dcterms:created>
  <dcterms:modified xsi:type="dcterms:W3CDTF">2017-03-09T13:16:37Z</dcterms:modified>
  <cp:category/>
  <cp:version/>
  <cp:contentType/>
  <cp:contentStatus/>
</cp:coreProperties>
</file>